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PL\2025\PREGÕES\MANUTENÇÃO PREDIAL 08320.005188-2024-57\"/>
    </mc:Choice>
  </mc:AlternateContent>
  <xr:revisionPtr revIDLastSave="0" documentId="13_ncr:1_{582BD35A-CD49-4167-831F-4C8A3E7339AB}" xr6:coauthVersionLast="47" xr6:coauthVersionMax="47" xr10:uidLastSave="{00000000-0000-0000-0000-000000000000}"/>
  <bookViews>
    <workbookView xWindow="28680" yWindow="-1575" windowWidth="29040" windowHeight="15720" firstSheet="5" activeTab="6" xr2:uid="{FECB0EF0-FD2D-48EC-9E0D-92858041EC23}"/>
  </bookViews>
  <sheets>
    <sheet name="Horas Extras" sheetId="23" r:id="rId1"/>
    <sheet name="OFICIAL - ROO" sheetId="30" r:id="rId2"/>
    <sheet name="OFICIAL - CAE" sheetId="29" r:id="rId3"/>
    <sheet name="OFICIAL - SIC" sheetId="28" r:id="rId4"/>
    <sheet name="OFICIAL - BRG" sheetId="27" r:id="rId5"/>
    <sheet name="OFICIAL - CBA" sheetId="7" r:id="rId6"/>
    <sheet name="RESUMO" sheetId="26" r:id="rId7"/>
    <sheet name="Resumo - Mão de Obra" sheetId="25" r:id="rId8"/>
    <sheet name="BDI" sheetId="1" r:id="rId9"/>
    <sheet name="BDI SINOP" sheetId="2" r:id="rId10"/>
    <sheet name="BDI - MERO FORNECIMENTO" sheetId="3" r:id="rId11"/>
    <sheet name="UNIFORMES" sheetId="6" r:id="rId12"/>
    <sheet name="Ferramentas de Uso Geral" sheetId="20" r:id="rId13"/>
    <sheet name="Ferramentas ELE-TEC-MEC" sheetId="21" r:id="rId14"/>
    <sheet name="ENGENHEIROS" sheetId="4" r:id="rId15"/>
    <sheet name="TÉCNICO EM EDIFICAÇÕES" sheetId="14" r:id="rId16"/>
    <sheet name="ELETRICISTA" sheetId="15" r:id="rId17"/>
    <sheet name="Auxiliar de Manutenção" sheetId="16" r:id="rId18"/>
    <sheet name="MECÂNICO DE REFRIGERAÇÃO" sheetId="17" r:id="rId19"/>
    <sheet name="MATERIAIS E PEÇAS" sheetId="18" r:id="rId20"/>
    <sheet name="SERVIÇOS EVENTUAIS" sheetId="19" r:id="rId21"/>
    <sheet name="Serviços Especializados" sheetId="24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26" l="1"/>
  <c r="M21" i="7"/>
  <c r="K57" i="17"/>
  <c r="F57" i="17"/>
  <c r="F57" i="16"/>
  <c r="K57" i="16"/>
  <c r="K57" i="15"/>
  <c r="F57" i="15"/>
  <c r="K57" i="14"/>
  <c r="F57" i="14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29" i="19"/>
  <c r="E14" i="25"/>
  <c r="E13" i="25"/>
  <c r="E12" i="25"/>
  <c r="E11" i="25"/>
  <c r="J115" i="30"/>
  <c r="E115" i="30"/>
  <c r="J114" i="30"/>
  <c r="E114" i="30"/>
  <c r="K105" i="30"/>
  <c r="F105" i="30"/>
  <c r="K103" i="30"/>
  <c r="K107" i="30" s="1"/>
  <c r="F103" i="30"/>
  <c r="F107" i="30" s="1"/>
  <c r="J87" i="30"/>
  <c r="E87" i="30"/>
  <c r="J86" i="30"/>
  <c r="E86" i="30"/>
  <c r="J85" i="30"/>
  <c r="E85" i="30"/>
  <c r="J84" i="30"/>
  <c r="E84" i="30"/>
  <c r="J83" i="30"/>
  <c r="E83" i="30"/>
  <c r="J77" i="30"/>
  <c r="E77" i="30"/>
  <c r="J75" i="30"/>
  <c r="J76" i="30" s="1"/>
  <c r="E75" i="30"/>
  <c r="E76" i="30" s="1"/>
  <c r="J74" i="30"/>
  <c r="E74" i="30"/>
  <c r="J73" i="30"/>
  <c r="E73" i="30"/>
  <c r="J72" i="30"/>
  <c r="E72" i="30"/>
  <c r="K59" i="30"/>
  <c r="F59" i="30"/>
  <c r="K58" i="30"/>
  <c r="F58" i="30"/>
  <c r="K57" i="30"/>
  <c r="K61" i="30" s="1"/>
  <c r="K66" i="30" s="1"/>
  <c r="F57" i="30"/>
  <c r="F61" i="30" s="1"/>
  <c r="F66" i="30" s="1"/>
  <c r="J52" i="30"/>
  <c r="E52" i="30"/>
  <c r="J51" i="30"/>
  <c r="E51" i="30"/>
  <c r="J50" i="30"/>
  <c r="E50" i="30"/>
  <c r="J49" i="30"/>
  <c r="E49" i="30"/>
  <c r="J48" i="30"/>
  <c r="E48" i="30"/>
  <c r="J47" i="30"/>
  <c r="E47" i="30"/>
  <c r="J46" i="30"/>
  <c r="E46" i="30"/>
  <c r="E45" i="30"/>
  <c r="J41" i="30"/>
  <c r="E41" i="30"/>
  <c r="J40" i="30"/>
  <c r="E40" i="30"/>
  <c r="F29" i="30"/>
  <c r="K28" i="30"/>
  <c r="K29" i="30" s="1"/>
  <c r="K35" i="30" s="1"/>
  <c r="F28" i="30"/>
  <c r="F35" i="30" s="1"/>
  <c r="J115" i="29"/>
  <c r="E115" i="29"/>
  <c r="J114" i="29"/>
  <c r="E114" i="29"/>
  <c r="K105" i="29"/>
  <c r="F105" i="29"/>
  <c r="K103" i="29"/>
  <c r="K107" i="29" s="1"/>
  <c r="F103" i="29"/>
  <c r="F107" i="29" s="1"/>
  <c r="J87" i="29"/>
  <c r="E87" i="29"/>
  <c r="J86" i="29"/>
  <c r="E86" i="29"/>
  <c r="J85" i="29"/>
  <c r="E85" i="29"/>
  <c r="J84" i="29"/>
  <c r="E84" i="29"/>
  <c r="J83" i="29"/>
  <c r="E83" i="29"/>
  <c r="J77" i="29"/>
  <c r="E77" i="29"/>
  <c r="J75" i="29"/>
  <c r="J76" i="29" s="1"/>
  <c r="E75" i="29"/>
  <c r="E76" i="29" s="1"/>
  <c r="J74" i="29"/>
  <c r="E74" i="29"/>
  <c r="J73" i="29"/>
  <c r="E73" i="29"/>
  <c r="J72" i="29"/>
  <c r="E72" i="29"/>
  <c r="K59" i="29"/>
  <c r="F59" i="29"/>
  <c r="F61" i="29" s="1"/>
  <c r="F66" i="29" s="1"/>
  <c r="K58" i="29"/>
  <c r="F58" i="29"/>
  <c r="K57" i="29"/>
  <c r="K61" i="29" s="1"/>
  <c r="K66" i="29" s="1"/>
  <c r="F57" i="29"/>
  <c r="J52" i="29"/>
  <c r="E52" i="29"/>
  <c r="J51" i="29"/>
  <c r="E51" i="29"/>
  <c r="J50" i="29"/>
  <c r="E50" i="29"/>
  <c r="J49" i="29"/>
  <c r="E49" i="29"/>
  <c r="J48" i="29"/>
  <c r="E48" i="29"/>
  <c r="J47" i="29"/>
  <c r="E47" i="29"/>
  <c r="J46" i="29"/>
  <c r="E46" i="29"/>
  <c r="E45" i="29"/>
  <c r="J41" i="29"/>
  <c r="E41" i="29"/>
  <c r="J40" i="29"/>
  <c r="E40" i="29"/>
  <c r="F29" i="29"/>
  <c r="K28" i="29"/>
  <c r="K29" i="29" s="1"/>
  <c r="K35" i="29" s="1"/>
  <c r="F28" i="29"/>
  <c r="F35" i="29" s="1"/>
  <c r="J115" i="28"/>
  <c r="E115" i="28"/>
  <c r="J114" i="28"/>
  <c r="E114" i="28"/>
  <c r="K105" i="28"/>
  <c r="F105" i="28"/>
  <c r="K103" i="28"/>
  <c r="K107" i="28" s="1"/>
  <c r="F103" i="28"/>
  <c r="F107" i="28" s="1"/>
  <c r="J87" i="28"/>
  <c r="E87" i="28"/>
  <c r="J86" i="28"/>
  <c r="E86" i="28"/>
  <c r="J85" i="28"/>
  <c r="E85" i="28"/>
  <c r="J84" i="28"/>
  <c r="E84" i="28"/>
  <c r="J83" i="28"/>
  <c r="E83" i="28"/>
  <c r="J77" i="28"/>
  <c r="E77" i="28"/>
  <c r="E76" i="28"/>
  <c r="J75" i="28"/>
  <c r="J76" i="28" s="1"/>
  <c r="E75" i="28"/>
  <c r="J74" i="28"/>
  <c r="E74" i="28"/>
  <c r="J73" i="28"/>
  <c r="J72" i="28"/>
  <c r="E72" i="28"/>
  <c r="E73" i="28" s="1"/>
  <c r="K59" i="28"/>
  <c r="F59" i="28"/>
  <c r="K58" i="28"/>
  <c r="F58" i="28"/>
  <c r="K57" i="28"/>
  <c r="F57" i="28"/>
  <c r="K61" i="28"/>
  <c r="K66" i="28" s="1"/>
  <c r="F61" i="28"/>
  <c r="F66" i="28" s="1"/>
  <c r="J52" i="28"/>
  <c r="E52" i="28"/>
  <c r="J51" i="28"/>
  <c r="E51" i="28"/>
  <c r="J50" i="28"/>
  <c r="E50" i="28"/>
  <c r="J49" i="28"/>
  <c r="E49" i="28"/>
  <c r="J48" i="28"/>
  <c r="E48" i="28"/>
  <c r="J47" i="28"/>
  <c r="E47" i="28"/>
  <c r="J46" i="28"/>
  <c r="E46" i="28"/>
  <c r="E45" i="28"/>
  <c r="J41" i="28"/>
  <c r="E41" i="28"/>
  <c r="J40" i="28"/>
  <c r="E40" i="28"/>
  <c r="K28" i="28"/>
  <c r="F28" i="28"/>
  <c r="I136" i="27"/>
  <c r="K56" i="27"/>
  <c r="F56" i="27"/>
  <c r="F128" i="30" l="1"/>
  <c r="F46" i="30"/>
  <c r="F124" i="30"/>
  <c r="F76" i="30"/>
  <c r="F74" i="30"/>
  <c r="F77" i="30"/>
  <c r="F40" i="30"/>
  <c r="F42" i="30" s="1"/>
  <c r="F64" i="30" s="1"/>
  <c r="K46" i="30"/>
  <c r="F41" i="30"/>
  <c r="F73" i="30"/>
  <c r="K124" i="30"/>
  <c r="K76" i="30"/>
  <c r="K74" i="30"/>
  <c r="K72" i="30"/>
  <c r="K40" i="30"/>
  <c r="K41" i="30"/>
  <c r="K77" i="30"/>
  <c r="K128" i="30"/>
  <c r="F72" i="30"/>
  <c r="K73" i="30"/>
  <c r="F75" i="30"/>
  <c r="K75" i="30"/>
  <c r="F76" i="29"/>
  <c r="F72" i="29"/>
  <c r="F124" i="29"/>
  <c r="F74" i="29"/>
  <c r="F40" i="29"/>
  <c r="F77" i="29"/>
  <c r="K128" i="29"/>
  <c r="K72" i="29"/>
  <c r="F128" i="29"/>
  <c r="K124" i="29"/>
  <c r="K76" i="29"/>
  <c r="K74" i="29"/>
  <c r="K40" i="29"/>
  <c r="K42" i="29" s="1"/>
  <c r="K64" i="29" s="1"/>
  <c r="K77" i="29"/>
  <c r="K41" i="29"/>
  <c r="F41" i="29"/>
  <c r="F73" i="29"/>
  <c r="K73" i="29"/>
  <c r="F75" i="29"/>
  <c r="K75" i="29"/>
  <c r="F128" i="28"/>
  <c r="K128" i="28"/>
  <c r="F29" i="28"/>
  <c r="F35" i="28" s="1"/>
  <c r="K29" i="28"/>
  <c r="K35" i="28" s="1"/>
  <c r="F50" i="30" l="1"/>
  <c r="K78" i="30"/>
  <c r="K126" i="30" s="1"/>
  <c r="K45" i="30"/>
  <c r="F52" i="30"/>
  <c r="F48" i="30"/>
  <c r="F78" i="30"/>
  <c r="K51" i="30"/>
  <c r="K47" i="30"/>
  <c r="K42" i="30"/>
  <c r="K64" i="30" s="1"/>
  <c r="F51" i="30"/>
  <c r="F45" i="30"/>
  <c r="F49" i="30"/>
  <c r="K49" i="30"/>
  <c r="K52" i="30"/>
  <c r="K48" i="30"/>
  <c r="F47" i="30"/>
  <c r="K50" i="30"/>
  <c r="F78" i="29"/>
  <c r="F42" i="29"/>
  <c r="K78" i="29"/>
  <c r="K126" i="29" s="1"/>
  <c r="K124" i="28"/>
  <c r="K76" i="28"/>
  <c r="K74" i="28"/>
  <c r="K77" i="28"/>
  <c r="K40" i="28"/>
  <c r="K72" i="28"/>
  <c r="K41" i="28"/>
  <c r="K73" i="28"/>
  <c r="K75" i="28"/>
  <c r="F40" i="28"/>
  <c r="F42" i="28" s="1"/>
  <c r="F64" i="28" s="1"/>
  <c r="F41" i="28"/>
  <c r="F75" i="28"/>
  <c r="F124" i="28"/>
  <c r="F51" i="28"/>
  <c r="F76" i="28"/>
  <c r="F74" i="28"/>
  <c r="F77" i="28"/>
  <c r="F48" i="28"/>
  <c r="F72" i="28"/>
  <c r="F73" i="28"/>
  <c r="F126" i="30" l="1"/>
  <c r="F53" i="30"/>
  <c r="F65" i="30" s="1"/>
  <c r="F67" i="30" s="1"/>
  <c r="F125" i="30" s="1"/>
  <c r="K53" i="30"/>
  <c r="K65" i="30" s="1"/>
  <c r="K67" i="30" s="1"/>
  <c r="K125" i="30" s="1"/>
  <c r="F126" i="29"/>
  <c r="F64" i="29"/>
  <c r="F48" i="29"/>
  <c r="F46" i="29"/>
  <c r="K49" i="29"/>
  <c r="K45" i="29"/>
  <c r="F49" i="29"/>
  <c r="K50" i="29"/>
  <c r="F45" i="29"/>
  <c r="F51" i="29"/>
  <c r="K51" i="29"/>
  <c r="F47" i="29"/>
  <c r="K48" i="29"/>
  <c r="K47" i="29"/>
  <c r="K46" i="29"/>
  <c r="F52" i="29"/>
  <c r="K52" i="29"/>
  <c r="F50" i="29"/>
  <c r="K47" i="28"/>
  <c r="F45" i="28"/>
  <c r="F49" i="28"/>
  <c r="K46" i="28"/>
  <c r="K51" i="28"/>
  <c r="K48" i="28"/>
  <c r="K49" i="28"/>
  <c r="K45" i="28"/>
  <c r="K50" i="28"/>
  <c r="F50" i="28"/>
  <c r="K52" i="28"/>
  <c r="K42" i="28"/>
  <c r="K64" i="28" s="1"/>
  <c r="F52" i="28"/>
  <c r="F78" i="28"/>
  <c r="K78" i="28"/>
  <c r="K126" i="28" s="1"/>
  <c r="F46" i="28"/>
  <c r="F47" i="28"/>
  <c r="F84" i="30" l="1"/>
  <c r="F86" i="30"/>
  <c r="K83" i="30"/>
  <c r="K86" i="30"/>
  <c r="F83" i="30"/>
  <c r="K85" i="30"/>
  <c r="F85" i="30"/>
  <c r="K88" i="30"/>
  <c r="K84" i="30"/>
  <c r="F88" i="30"/>
  <c r="K87" i="30"/>
  <c r="F87" i="30"/>
  <c r="F53" i="29"/>
  <c r="F65" i="29" s="1"/>
  <c r="F67" i="29"/>
  <c r="K53" i="29"/>
  <c r="K65" i="29" s="1"/>
  <c r="K67" i="29" s="1"/>
  <c r="K125" i="29" s="1"/>
  <c r="F126" i="28"/>
  <c r="K53" i="28"/>
  <c r="K65" i="28" s="1"/>
  <c r="K67" i="28" s="1"/>
  <c r="K125" i="28" s="1"/>
  <c r="F53" i="28"/>
  <c r="F65" i="28" s="1"/>
  <c r="F67" i="28" s="1"/>
  <c r="F125" i="28" s="1"/>
  <c r="F89" i="30" l="1"/>
  <c r="F96" i="30" s="1"/>
  <c r="F98" i="30" s="1"/>
  <c r="K89" i="30"/>
  <c r="K96" i="30" s="1"/>
  <c r="K98" i="30" s="1"/>
  <c r="F125" i="29"/>
  <c r="F87" i="29"/>
  <c r="K87" i="29"/>
  <c r="K83" i="29"/>
  <c r="K88" i="29"/>
  <c r="F86" i="29"/>
  <c r="F85" i="29"/>
  <c r="F88" i="29"/>
  <c r="F83" i="29"/>
  <c r="K85" i="29"/>
  <c r="K86" i="29"/>
  <c r="F84" i="29"/>
  <c r="K84" i="29"/>
  <c r="K83" i="28"/>
  <c r="F88" i="28"/>
  <c r="K85" i="28"/>
  <c r="K86" i="28"/>
  <c r="F87" i="28"/>
  <c r="K84" i="28"/>
  <c r="F83" i="28"/>
  <c r="F84" i="28"/>
  <c r="F85" i="28"/>
  <c r="F86" i="28"/>
  <c r="K88" i="28"/>
  <c r="K87" i="28"/>
  <c r="F127" i="30" l="1"/>
  <c r="F129" i="30" s="1"/>
  <c r="F109" i="30"/>
  <c r="K127" i="30"/>
  <c r="K129" i="30" s="1"/>
  <c r="K109" i="30"/>
  <c r="K89" i="29"/>
  <c r="K96" i="29" s="1"/>
  <c r="K98" i="29" s="1"/>
  <c r="F89" i="29"/>
  <c r="F96" i="29" s="1"/>
  <c r="F98" i="29" s="1"/>
  <c r="F89" i="28"/>
  <c r="F96" i="28" s="1"/>
  <c r="F98" i="28" s="1"/>
  <c r="F127" i="28" s="1"/>
  <c r="F129" i="28" s="1"/>
  <c r="K89" i="28"/>
  <c r="K96" i="28" s="1"/>
  <c r="K98" i="28" s="1"/>
  <c r="F114" i="30" l="1"/>
  <c r="F115" i="30" s="1"/>
  <c r="K114" i="30"/>
  <c r="F127" i="29"/>
  <c r="F129" i="29" s="1"/>
  <c r="F109" i="29"/>
  <c r="K127" i="29"/>
  <c r="K129" i="29" s="1"/>
  <c r="K109" i="29"/>
  <c r="F109" i="28"/>
  <c r="F114" i="28" s="1"/>
  <c r="K127" i="28"/>
  <c r="K129" i="28" s="1"/>
  <c r="K109" i="28"/>
  <c r="K115" i="30" l="1"/>
  <c r="K117" i="30" s="1"/>
  <c r="K120" i="30" s="1"/>
  <c r="K130" i="30" s="1"/>
  <c r="K131" i="30" s="1"/>
  <c r="F120" i="30"/>
  <c r="F130" i="30" s="1"/>
  <c r="F131" i="30" s="1"/>
  <c r="F132" i="30" s="1"/>
  <c r="F117" i="30"/>
  <c r="K114" i="29"/>
  <c r="F114" i="29"/>
  <c r="F115" i="28"/>
  <c r="F117" i="28" s="1"/>
  <c r="F120" i="28" s="1"/>
  <c r="F130" i="28" s="1"/>
  <c r="F131" i="28" s="1"/>
  <c r="F132" i="28" s="1"/>
  <c r="K114" i="28"/>
  <c r="K132" i="30" l="1"/>
  <c r="J14" i="25"/>
  <c r="F115" i="29"/>
  <c r="F117" i="29" s="1"/>
  <c r="F120" i="29" s="1"/>
  <c r="F130" i="29" s="1"/>
  <c r="F131" i="29" s="1"/>
  <c r="F132" i="29" s="1"/>
  <c r="K115" i="29"/>
  <c r="K117" i="29" s="1"/>
  <c r="K120" i="29" s="1"/>
  <c r="K130" i="29" s="1"/>
  <c r="K131" i="29" s="1"/>
  <c r="K115" i="28"/>
  <c r="K132" i="29" l="1"/>
  <c r="J12" i="25"/>
  <c r="K117" i="28"/>
  <c r="K120" i="28" s="1"/>
  <c r="K130" i="28" s="1"/>
  <c r="K131" i="28" s="1"/>
  <c r="K132" i="28" l="1"/>
  <c r="J13" i="25"/>
  <c r="J115" i="27"/>
  <c r="E115" i="27"/>
  <c r="J114" i="27"/>
  <c r="E114" i="27"/>
  <c r="K105" i="27"/>
  <c r="F105" i="27"/>
  <c r="K103" i="27"/>
  <c r="K107" i="27" s="1"/>
  <c r="F103" i="27"/>
  <c r="F107" i="27" s="1"/>
  <c r="J87" i="27"/>
  <c r="E87" i="27"/>
  <c r="J86" i="27"/>
  <c r="E86" i="27"/>
  <c r="J85" i="27"/>
  <c r="E85" i="27"/>
  <c r="J84" i="27"/>
  <c r="E84" i="27"/>
  <c r="J83" i="27"/>
  <c r="E83" i="27"/>
  <c r="J77" i="27"/>
  <c r="E77" i="27"/>
  <c r="J75" i="27"/>
  <c r="J76" i="27" s="1"/>
  <c r="E75" i="27"/>
  <c r="E76" i="27" s="1"/>
  <c r="J74" i="27"/>
  <c r="E74" i="27"/>
  <c r="J73" i="27"/>
  <c r="E73" i="27"/>
  <c r="J72" i="27"/>
  <c r="E72" i="27"/>
  <c r="K59" i="27"/>
  <c r="K61" i="27" s="1"/>
  <c r="K66" i="27" s="1"/>
  <c r="F59" i="27"/>
  <c r="F61" i="27" s="1"/>
  <c r="F66" i="27" s="1"/>
  <c r="K58" i="27"/>
  <c r="F58" i="27"/>
  <c r="K57" i="27"/>
  <c r="F57" i="27"/>
  <c r="J52" i="27"/>
  <c r="E52" i="27"/>
  <c r="J51" i="27"/>
  <c r="E51" i="27"/>
  <c r="J50" i="27"/>
  <c r="E50" i="27"/>
  <c r="J49" i="27"/>
  <c r="E49" i="27"/>
  <c r="J48" i="27"/>
  <c r="E48" i="27"/>
  <c r="J47" i="27"/>
  <c r="E47" i="27"/>
  <c r="J46" i="27"/>
  <c r="E46" i="27"/>
  <c r="E45" i="27"/>
  <c r="J41" i="27"/>
  <c r="E41" i="27"/>
  <c r="J40" i="27"/>
  <c r="E40" i="27"/>
  <c r="K28" i="27"/>
  <c r="K29" i="27" s="1"/>
  <c r="K35" i="27" s="1"/>
  <c r="F28" i="27"/>
  <c r="F128" i="27" l="1"/>
  <c r="K128" i="27"/>
  <c r="K124" i="27"/>
  <c r="K76" i="27"/>
  <c r="K74" i="27"/>
  <c r="K77" i="27"/>
  <c r="K41" i="27"/>
  <c r="K40" i="27"/>
  <c r="K42" i="27" s="1"/>
  <c r="K64" i="27" s="1"/>
  <c r="K72" i="27"/>
  <c r="K73" i="27"/>
  <c r="K75" i="27"/>
  <c r="F29" i="27"/>
  <c r="F35" i="27" s="1"/>
  <c r="F40" i="27" l="1"/>
  <c r="F42" i="27" s="1"/>
  <c r="F64" i="27" s="1"/>
  <c r="F124" i="27"/>
  <c r="F76" i="27"/>
  <c r="F74" i="27"/>
  <c r="F77" i="27"/>
  <c r="F75" i="27"/>
  <c r="F49" i="27"/>
  <c r="K50" i="27"/>
  <c r="K47" i="27"/>
  <c r="F41" i="27"/>
  <c r="K52" i="27"/>
  <c r="F73" i="27"/>
  <c r="F72" i="27"/>
  <c r="F78" i="27" s="1"/>
  <c r="K78" i="27"/>
  <c r="K126" i="27" s="1"/>
  <c r="K49" i="27" l="1"/>
  <c r="K46" i="27"/>
  <c r="F48" i="27"/>
  <c r="F126" i="27"/>
  <c r="F51" i="27"/>
  <c r="K48" i="27"/>
  <c r="F50" i="27"/>
  <c r="F46" i="27"/>
  <c r="K51" i="27"/>
  <c r="F47" i="27"/>
  <c r="F45" i="27"/>
  <c r="K45" i="27"/>
  <c r="F52" i="27"/>
  <c r="F53" i="27" l="1"/>
  <c r="F65" i="27" s="1"/>
  <c r="F67" i="27" s="1"/>
  <c r="K53" i="27"/>
  <c r="K65" i="27" s="1"/>
  <c r="K67" i="27" s="1"/>
  <c r="K125" i="27" s="1"/>
  <c r="F125" i="27" l="1"/>
  <c r="K85" i="27"/>
  <c r="F84" i="27"/>
  <c r="F88" i="27"/>
  <c r="F87" i="27"/>
  <c r="K83" i="27"/>
  <c r="K86" i="27"/>
  <c r="F83" i="27"/>
  <c r="F86" i="27"/>
  <c r="K88" i="27"/>
  <c r="K87" i="27"/>
  <c r="K84" i="27"/>
  <c r="F85" i="27"/>
  <c r="K89" i="27" l="1"/>
  <c r="K96" i="27" s="1"/>
  <c r="K98" i="27" s="1"/>
  <c r="K127" i="27"/>
  <c r="K129" i="27" s="1"/>
  <c r="K109" i="27"/>
  <c r="F89" i="27"/>
  <c r="F96" i="27" s="1"/>
  <c r="F98" i="27" s="1"/>
  <c r="F127" i="27" l="1"/>
  <c r="F129" i="27" s="1"/>
  <c r="F109" i="27"/>
  <c r="K114" i="27"/>
  <c r="K115" i="27" s="1"/>
  <c r="K117" i="27" l="1"/>
  <c r="K120" i="27" s="1"/>
  <c r="K130" i="27" s="1"/>
  <c r="K131" i="27" s="1"/>
  <c r="F114" i="27"/>
  <c r="F115" i="27"/>
  <c r="K132" i="27" l="1"/>
  <c r="J11" i="25"/>
  <c r="F117" i="27"/>
  <c r="F120" i="27" s="1"/>
  <c r="F130" i="27" s="1"/>
  <c r="F131" i="27" s="1"/>
  <c r="F132" i="27" s="1"/>
  <c r="K28" i="7" l="1"/>
  <c r="F28" i="7"/>
  <c r="K57" i="7" l="1"/>
  <c r="F57" i="7"/>
  <c r="K29" i="7"/>
  <c r="F29" i="7"/>
  <c r="E5" i="26"/>
  <c r="F5" i="26" s="1"/>
  <c r="F600" i="18"/>
  <c r="J5" i="26"/>
  <c r="K5" i="26" s="1"/>
  <c r="E60" i="20"/>
  <c r="O13" i="24"/>
  <c r="F13" i="24"/>
  <c r="F11" i="24"/>
  <c r="O11" i="24"/>
  <c r="F10" i="24"/>
  <c r="O10" i="24"/>
  <c r="O9" i="24"/>
  <c r="O8" i="24"/>
  <c r="O7" i="24"/>
  <c r="O6" i="24"/>
  <c r="O12" i="24" l="1"/>
  <c r="O14" i="24" s="1"/>
  <c r="J7" i="26" l="1"/>
  <c r="K7" i="26" s="1"/>
  <c r="F9" i="24"/>
  <c r="F8" i="24"/>
  <c r="F7" i="24"/>
  <c r="F6" i="24"/>
  <c r="D19" i="23"/>
  <c r="E19" i="23" s="1"/>
  <c r="D18" i="23"/>
  <c r="E18" i="23" s="1"/>
  <c r="D17" i="23"/>
  <c r="E17" i="23" s="1"/>
  <c r="D16" i="23"/>
  <c r="E16" i="23" s="1"/>
  <c r="D15" i="23"/>
  <c r="D14" i="23"/>
  <c r="E14" i="23" s="1"/>
  <c r="F12" i="24" l="1"/>
  <c r="E15" i="23"/>
  <c r="F14" i="24" l="1"/>
  <c r="E7" i="26" s="1"/>
  <c r="F7" i="26" s="1"/>
  <c r="K44" i="19" l="1"/>
  <c r="H42" i="19"/>
  <c r="G42" i="19"/>
  <c r="J42" i="19" s="1"/>
  <c r="I41" i="19"/>
  <c r="H41" i="19"/>
  <c r="G41" i="19"/>
  <c r="J41" i="19" s="1"/>
  <c r="J40" i="19"/>
  <c r="I40" i="19"/>
  <c r="H40" i="19"/>
  <c r="G40" i="19"/>
  <c r="J39" i="19"/>
  <c r="G39" i="19"/>
  <c r="I39" i="19" s="1"/>
  <c r="J38" i="19"/>
  <c r="I38" i="19"/>
  <c r="H38" i="19"/>
  <c r="K37" i="19"/>
  <c r="J37" i="19"/>
  <c r="I37" i="19"/>
  <c r="H37" i="19"/>
  <c r="J36" i="19"/>
  <c r="I36" i="19"/>
  <c r="H36" i="19"/>
  <c r="J35" i="19"/>
  <c r="I35" i="19"/>
  <c r="K35" i="19" s="1"/>
  <c r="H35" i="19"/>
  <c r="G34" i="19"/>
  <c r="J34" i="19" s="1"/>
  <c r="G33" i="19"/>
  <c r="I33" i="19" s="1"/>
  <c r="J32" i="19"/>
  <c r="I32" i="19"/>
  <c r="H32" i="19"/>
  <c r="G32" i="19"/>
  <c r="G31" i="19"/>
  <c r="J31" i="19" s="1"/>
  <c r="J30" i="19"/>
  <c r="I30" i="19"/>
  <c r="H30" i="19"/>
  <c r="J29" i="19"/>
  <c r="I29" i="19"/>
  <c r="H29" i="19"/>
  <c r="E610" i="18"/>
  <c r="G608" i="18"/>
  <c r="F608" i="18" s="1"/>
  <c r="G607" i="18"/>
  <c r="G606" i="18"/>
  <c r="F606" i="18" s="1"/>
  <c r="G605" i="18"/>
  <c r="F607" i="18"/>
  <c r="K105" i="17"/>
  <c r="K103" i="17"/>
  <c r="J115" i="17"/>
  <c r="J114" i="17"/>
  <c r="J87" i="17"/>
  <c r="J86" i="17"/>
  <c r="J85" i="17"/>
  <c r="J84" i="17"/>
  <c r="J83" i="17"/>
  <c r="J77" i="17"/>
  <c r="J75" i="17"/>
  <c r="J76" i="17" s="1"/>
  <c r="J74" i="17"/>
  <c r="J73" i="17"/>
  <c r="J72" i="17"/>
  <c r="K59" i="17"/>
  <c r="K58" i="17"/>
  <c r="K56" i="17"/>
  <c r="K61" i="17" s="1"/>
  <c r="K66" i="17" s="1"/>
  <c r="J52" i="17"/>
  <c r="J51" i="17"/>
  <c r="J50" i="17"/>
  <c r="J49" i="17"/>
  <c r="J48" i="17"/>
  <c r="J47" i="17"/>
  <c r="J46" i="17"/>
  <c r="J41" i="17"/>
  <c r="J40" i="17"/>
  <c r="K28" i="17"/>
  <c r="K29" i="17" s="1"/>
  <c r="K105" i="16"/>
  <c r="K107" i="16" s="1"/>
  <c r="K103" i="16"/>
  <c r="J115" i="16"/>
  <c r="J114" i="16"/>
  <c r="J87" i="16"/>
  <c r="J86" i="16"/>
  <c r="J85" i="16"/>
  <c r="J84" i="16"/>
  <c r="J83" i="16"/>
  <c r="J77" i="16"/>
  <c r="J76" i="16"/>
  <c r="J75" i="16"/>
  <c r="J74" i="16"/>
  <c r="J72" i="16"/>
  <c r="J73" i="16" s="1"/>
  <c r="K59" i="16"/>
  <c r="K58" i="16"/>
  <c r="J52" i="16"/>
  <c r="J51" i="16"/>
  <c r="J50" i="16"/>
  <c r="J49" i="16"/>
  <c r="J48" i="16"/>
  <c r="J47" i="16"/>
  <c r="J46" i="16"/>
  <c r="J41" i="16"/>
  <c r="J40" i="16"/>
  <c r="K28" i="16"/>
  <c r="K29" i="16" s="1"/>
  <c r="K35" i="16" s="1"/>
  <c r="K105" i="15"/>
  <c r="K103" i="15"/>
  <c r="J115" i="15"/>
  <c r="J114" i="15"/>
  <c r="J87" i="15"/>
  <c r="J86" i="15"/>
  <c r="J85" i="15"/>
  <c r="J84" i="15"/>
  <c r="J83" i="15"/>
  <c r="J77" i="15"/>
  <c r="J75" i="15"/>
  <c r="J76" i="15" s="1"/>
  <c r="J74" i="15"/>
  <c r="J72" i="15"/>
  <c r="J73" i="15" s="1"/>
  <c r="K59" i="15"/>
  <c r="K58" i="15"/>
  <c r="K56" i="15"/>
  <c r="K61" i="15" s="1"/>
  <c r="K66" i="15" s="1"/>
  <c r="J52" i="15"/>
  <c r="J51" i="15"/>
  <c r="J50" i="15"/>
  <c r="J49" i="15"/>
  <c r="J48" i="15"/>
  <c r="J47" i="15"/>
  <c r="J46" i="15"/>
  <c r="J41" i="15"/>
  <c r="J40" i="15"/>
  <c r="K28" i="15"/>
  <c r="K105" i="14"/>
  <c r="K103" i="14"/>
  <c r="J115" i="14"/>
  <c r="J114" i="14"/>
  <c r="K107" i="14"/>
  <c r="K128" i="14" s="1"/>
  <c r="J87" i="14"/>
  <c r="J86" i="14"/>
  <c r="J85" i="14"/>
  <c r="J84" i="14"/>
  <c r="J83" i="14"/>
  <c r="J77" i="14"/>
  <c r="J76" i="14"/>
  <c r="J75" i="14"/>
  <c r="J74" i="14"/>
  <c r="J72" i="14"/>
  <c r="J73" i="14" s="1"/>
  <c r="K59" i="14"/>
  <c r="K58" i="14"/>
  <c r="J52" i="14"/>
  <c r="J51" i="14"/>
  <c r="J50" i="14"/>
  <c r="J49" i="14"/>
  <c r="J48" i="14"/>
  <c r="J47" i="14"/>
  <c r="J46" i="14"/>
  <c r="J41" i="14"/>
  <c r="J40" i="14"/>
  <c r="K28" i="14"/>
  <c r="K105" i="7"/>
  <c r="K103" i="7"/>
  <c r="J115" i="7"/>
  <c r="J114" i="7"/>
  <c r="K107" i="7"/>
  <c r="J87" i="7"/>
  <c r="J86" i="7"/>
  <c r="J85" i="7"/>
  <c r="J84" i="7"/>
  <c r="J83" i="7"/>
  <c r="J77" i="7"/>
  <c r="J76" i="7"/>
  <c r="J75" i="7"/>
  <c r="J74" i="7"/>
  <c r="J72" i="7"/>
  <c r="J73" i="7" s="1"/>
  <c r="K59" i="7"/>
  <c r="K58" i="7"/>
  <c r="J52" i="7"/>
  <c r="J51" i="7"/>
  <c r="J50" i="7"/>
  <c r="J49" i="7"/>
  <c r="J48" i="7"/>
  <c r="J47" i="7"/>
  <c r="J46" i="7"/>
  <c r="J41" i="7"/>
  <c r="J40" i="7"/>
  <c r="K35" i="7"/>
  <c r="K40" i="7" s="1"/>
  <c r="J114" i="4"/>
  <c r="J113" i="4"/>
  <c r="K106" i="4"/>
  <c r="K127" i="4" s="1"/>
  <c r="K102" i="4"/>
  <c r="J86" i="4"/>
  <c r="J85" i="4"/>
  <c r="J84" i="4"/>
  <c r="J83" i="4"/>
  <c r="J82" i="4"/>
  <c r="J76" i="4"/>
  <c r="J75" i="4"/>
  <c r="J74" i="4"/>
  <c r="J73" i="4"/>
  <c r="J71" i="4"/>
  <c r="J51" i="4"/>
  <c r="J50" i="4"/>
  <c r="J49" i="4"/>
  <c r="J48" i="4"/>
  <c r="J47" i="4"/>
  <c r="J46" i="4"/>
  <c r="J45" i="4"/>
  <c r="J40" i="4"/>
  <c r="J39" i="4"/>
  <c r="K28" i="4"/>
  <c r="K39" i="4" s="1"/>
  <c r="K56" i="16" l="1"/>
  <c r="K61" i="16" s="1"/>
  <c r="K66" i="16" s="1"/>
  <c r="K35" i="15"/>
  <c r="K72" i="15" s="1"/>
  <c r="K73" i="15"/>
  <c r="K29" i="15"/>
  <c r="K36" i="19"/>
  <c r="K30" i="19"/>
  <c r="K32" i="19"/>
  <c r="K38" i="19"/>
  <c r="K40" i="19"/>
  <c r="K29" i="19"/>
  <c r="K40" i="4"/>
  <c r="K41" i="4"/>
  <c r="K63" i="4" s="1"/>
  <c r="K61" i="7"/>
  <c r="K66" i="7" s="1"/>
  <c r="K75" i="7"/>
  <c r="K41" i="7"/>
  <c r="K42" i="7" s="1"/>
  <c r="K64" i="7" s="1"/>
  <c r="K77" i="7"/>
  <c r="K61" i="14"/>
  <c r="K66" i="14" s="1"/>
  <c r="K29" i="14"/>
  <c r="K35" i="14" s="1"/>
  <c r="K41" i="14" s="1"/>
  <c r="K35" i="17"/>
  <c r="K41" i="17" s="1"/>
  <c r="K73" i="7"/>
  <c r="K41" i="19"/>
  <c r="H34" i="19"/>
  <c r="H31" i="19"/>
  <c r="I34" i="19"/>
  <c r="I31" i="19"/>
  <c r="H33" i="19"/>
  <c r="J33" i="19"/>
  <c r="J43" i="19" s="1"/>
  <c r="H39" i="19"/>
  <c r="K39" i="19" s="1"/>
  <c r="I42" i="19"/>
  <c r="K42" i="19" s="1"/>
  <c r="G609" i="18"/>
  <c r="F610" i="18" s="1"/>
  <c r="E611" i="18" s="1"/>
  <c r="E612" i="18" s="1"/>
  <c r="F605" i="18"/>
  <c r="F609" i="18" s="1"/>
  <c r="K107" i="17"/>
  <c r="K128" i="17" s="1"/>
  <c r="K73" i="17"/>
  <c r="K40" i="17"/>
  <c r="K76" i="17"/>
  <c r="K72" i="17"/>
  <c r="K75" i="17"/>
  <c r="K124" i="17"/>
  <c r="K77" i="16"/>
  <c r="K40" i="16"/>
  <c r="K76" i="16"/>
  <c r="K75" i="16"/>
  <c r="K124" i="16"/>
  <c r="K74" i="16"/>
  <c r="K41" i="16"/>
  <c r="K73" i="16"/>
  <c r="K128" i="16"/>
  <c r="K72" i="16"/>
  <c r="K107" i="15"/>
  <c r="K128" i="15" s="1"/>
  <c r="K75" i="15"/>
  <c r="K124" i="15"/>
  <c r="K128" i="7"/>
  <c r="K74" i="7"/>
  <c r="K124" i="7"/>
  <c r="K72" i="7"/>
  <c r="K76" i="7"/>
  <c r="K34" i="4"/>
  <c r="J72" i="4"/>
  <c r="K72" i="4" s="1"/>
  <c r="K42" i="17" l="1"/>
  <c r="K64" i="17" s="1"/>
  <c r="K77" i="17"/>
  <c r="K74" i="17"/>
  <c r="K76" i="15"/>
  <c r="K40" i="15"/>
  <c r="K74" i="15"/>
  <c r="K77" i="15"/>
  <c r="K41" i="15"/>
  <c r="K77" i="14"/>
  <c r="K40" i="14"/>
  <c r="K42" i="14" s="1"/>
  <c r="K64" i="14" s="1"/>
  <c r="K76" i="14"/>
  <c r="K72" i="14"/>
  <c r="K74" i="14"/>
  <c r="K124" i="14"/>
  <c r="H43" i="19"/>
  <c r="K33" i="19"/>
  <c r="I43" i="19"/>
  <c r="K78" i="7"/>
  <c r="K126" i="7" s="1"/>
  <c r="K75" i="14"/>
  <c r="K73" i="14"/>
  <c r="K31" i="19"/>
  <c r="K34" i="19"/>
  <c r="K78" i="17"/>
  <c r="K126" i="17" s="1"/>
  <c r="K78" i="16"/>
  <c r="K42" i="16"/>
  <c r="K64" i="16" s="1"/>
  <c r="K78" i="15"/>
  <c r="K126" i="15" s="1"/>
  <c r="K76" i="4"/>
  <c r="K75" i="4"/>
  <c r="K73" i="4"/>
  <c r="K123" i="4"/>
  <c r="K74" i="4"/>
  <c r="K71" i="4"/>
  <c r="K42" i="15" l="1"/>
  <c r="K64" i="15" s="1"/>
  <c r="K78" i="14"/>
  <c r="K43" i="19"/>
  <c r="K45" i="19" s="1"/>
  <c r="K46" i="19" s="1"/>
  <c r="J6" i="26" s="1"/>
  <c r="K6" i="26" s="1"/>
  <c r="K126" i="16"/>
  <c r="K126" i="14"/>
  <c r="K77" i="4"/>
  <c r="K125" i="4" l="1"/>
  <c r="D7" i="23" l="1"/>
  <c r="E7" i="23" s="1"/>
  <c r="D6" i="23"/>
  <c r="D5" i="23"/>
  <c r="E5" i="23" s="1"/>
  <c r="D4" i="23"/>
  <c r="E4" i="23" s="1"/>
  <c r="D3" i="23"/>
  <c r="E3" i="23" s="1"/>
  <c r="D2" i="23"/>
  <c r="E2" i="23" s="1"/>
  <c r="E6" i="23" l="1"/>
  <c r="K20" i="19" l="1"/>
  <c r="F105" i="17" l="1"/>
  <c r="F105" i="15"/>
  <c r="F105" i="14"/>
  <c r="E33" i="21"/>
  <c r="F105" i="16"/>
  <c r="F105" i="7"/>
  <c r="D8" i="21"/>
  <c r="L30" i="21"/>
  <c r="D30" i="21" s="1"/>
  <c r="E30" i="21" s="1"/>
  <c r="L29" i="21"/>
  <c r="D29" i="21" s="1"/>
  <c r="E29" i="21" s="1"/>
  <c r="L28" i="21"/>
  <c r="D28" i="21" s="1"/>
  <c r="E28" i="21" s="1"/>
  <c r="L27" i="21"/>
  <c r="D27" i="21"/>
  <c r="E27" i="21" s="1"/>
  <c r="L26" i="21"/>
  <c r="D26" i="21" s="1"/>
  <c r="E26" i="21" s="1"/>
  <c r="L25" i="21"/>
  <c r="D25" i="21" s="1"/>
  <c r="E25" i="21" s="1"/>
  <c r="L24" i="21"/>
  <c r="D24" i="21" s="1"/>
  <c r="E24" i="21" s="1"/>
  <c r="L23" i="21"/>
  <c r="D23" i="21" s="1"/>
  <c r="E23" i="21" s="1"/>
  <c r="L22" i="21"/>
  <c r="D22" i="21" s="1"/>
  <c r="E22" i="21" s="1"/>
  <c r="L21" i="21"/>
  <c r="D21" i="21" s="1"/>
  <c r="E21" i="21" s="1"/>
  <c r="L20" i="21"/>
  <c r="D20" i="21" s="1"/>
  <c r="E20" i="21" s="1"/>
  <c r="L19" i="21"/>
  <c r="D19" i="21" s="1"/>
  <c r="E19" i="21" s="1"/>
  <c r="L18" i="21"/>
  <c r="D18" i="21" s="1"/>
  <c r="E18" i="21" s="1"/>
  <c r="L17" i="21"/>
  <c r="D17" i="21" s="1"/>
  <c r="E17" i="21" s="1"/>
  <c r="L16" i="21"/>
  <c r="D16" i="21" s="1"/>
  <c r="E16" i="21" s="1"/>
  <c r="L15" i="21"/>
  <c r="D15" i="21"/>
  <c r="E15" i="21" s="1"/>
  <c r="L14" i="21"/>
  <c r="D14" i="21" s="1"/>
  <c r="E14" i="21" s="1"/>
  <c r="L13" i="21"/>
  <c r="D13" i="21" s="1"/>
  <c r="E13" i="21" s="1"/>
  <c r="L12" i="21"/>
  <c r="D12" i="21" s="1"/>
  <c r="E12" i="21" s="1"/>
  <c r="L11" i="21"/>
  <c r="D11" i="21"/>
  <c r="E11" i="21" s="1"/>
  <c r="L10" i="21"/>
  <c r="D10" i="21" s="1"/>
  <c r="E10" i="21" s="1"/>
  <c r="L9" i="21"/>
  <c r="D9" i="21" s="1"/>
  <c r="E9" i="21" s="1"/>
  <c r="L8" i="21"/>
  <c r="L7" i="21"/>
  <c r="D7" i="21" s="1"/>
  <c r="E7" i="21" s="1"/>
  <c r="L6" i="21"/>
  <c r="D6" i="21" s="1"/>
  <c r="E6" i="21" s="1"/>
  <c r="L5" i="21"/>
  <c r="D5" i="21" s="1"/>
  <c r="E5" i="21" s="1"/>
  <c r="L4" i="21"/>
  <c r="D4" i="21" s="1"/>
  <c r="E4" i="21" s="1"/>
  <c r="L3" i="21"/>
  <c r="D3" i="21" s="1"/>
  <c r="E3" i="21" s="1"/>
  <c r="E59" i="20"/>
  <c r="E58" i="20"/>
  <c r="L52" i="20"/>
  <c r="D52" i="20" s="1"/>
  <c r="E52" i="20" s="1"/>
  <c r="L53" i="20"/>
  <c r="D53" i="20" s="1"/>
  <c r="E53" i="20" s="1"/>
  <c r="L54" i="20"/>
  <c r="L55" i="20"/>
  <c r="D55" i="20" s="1"/>
  <c r="E55" i="20" s="1"/>
  <c r="D54" i="20"/>
  <c r="E54" i="20" s="1"/>
  <c r="L30" i="20"/>
  <c r="D30" i="20" s="1"/>
  <c r="E30" i="20" s="1"/>
  <c r="L31" i="20"/>
  <c r="D31" i="20" s="1"/>
  <c r="E31" i="20" s="1"/>
  <c r="L32" i="20"/>
  <c r="D32" i="20" s="1"/>
  <c r="E32" i="20" s="1"/>
  <c r="L33" i="20"/>
  <c r="D33" i="20" s="1"/>
  <c r="E33" i="20" s="1"/>
  <c r="L34" i="20"/>
  <c r="D34" i="20" s="1"/>
  <c r="E34" i="20" s="1"/>
  <c r="L35" i="20"/>
  <c r="D35" i="20" s="1"/>
  <c r="E35" i="20" s="1"/>
  <c r="L36" i="20"/>
  <c r="D36" i="20" s="1"/>
  <c r="E36" i="20" s="1"/>
  <c r="L37" i="20"/>
  <c r="D37" i="20" s="1"/>
  <c r="E37" i="20" s="1"/>
  <c r="L38" i="20"/>
  <c r="D38" i="20" s="1"/>
  <c r="E38" i="20" s="1"/>
  <c r="L39" i="20"/>
  <c r="D39" i="20" s="1"/>
  <c r="E39" i="20" s="1"/>
  <c r="L40" i="20"/>
  <c r="D40" i="20" s="1"/>
  <c r="E40" i="20" s="1"/>
  <c r="L41" i="20"/>
  <c r="D41" i="20" s="1"/>
  <c r="E41" i="20" s="1"/>
  <c r="L42" i="20"/>
  <c r="D42" i="20" s="1"/>
  <c r="E42" i="20" s="1"/>
  <c r="L43" i="20"/>
  <c r="D43" i="20" s="1"/>
  <c r="E43" i="20" s="1"/>
  <c r="L44" i="20"/>
  <c r="D44" i="20" s="1"/>
  <c r="E44" i="20" s="1"/>
  <c r="L45" i="20"/>
  <c r="D45" i="20" s="1"/>
  <c r="E45" i="20" s="1"/>
  <c r="L46" i="20"/>
  <c r="D46" i="20" s="1"/>
  <c r="E46" i="20" s="1"/>
  <c r="L47" i="20"/>
  <c r="D47" i="20" s="1"/>
  <c r="E47" i="20" s="1"/>
  <c r="L48" i="20"/>
  <c r="D48" i="20" s="1"/>
  <c r="E48" i="20" s="1"/>
  <c r="L49" i="20"/>
  <c r="D49" i="20" s="1"/>
  <c r="E49" i="20" s="1"/>
  <c r="L50" i="20"/>
  <c r="D50" i="20" s="1"/>
  <c r="E50" i="20" s="1"/>
  <c r="L51" i="20"/>
  <c r="D51" i="20" s="1"/>
  <c r="E51" i="20" s="1"/>
  <c r="L10" i="20"/>
  <c r="D10" i="20" s="1"/>
  <c r="E10" i="20" s="1"/>
  <c r="L11" i="20"/>
  <c r="D11" i="20" s="1"/>
  <c r="E11" i="20" s="1"/>
  <c r="L12" i="20"/>
  <c r="D12" i="20" s="1"/>
  <c r="E12" i="20" s="1"/>
  <c r="L13" i="20"/>
  <c r="L14" i="20"/>
  <c r="D14" i="20" s="1"/>
  <c r="E14" i="20" s="1"/>
  <c r="L15" i="20"/>
  <c r="D15" i="20" s="1"/>
  <c r="E15" i="20" s="1"/>
  <c r="L16" i="20"/>
  <c r="D16" i="20" s="1"/>
  <c r="E16" i="20" s="1"/>
  <c r="L17" i="20"/>
  <c r="D17" i="20" s="1"/>
  <c r="E17" i="20" s="1"/>
  <c r="L18" i="20"/>
  <c r="D18" i="20" s="1"/>
  <c r="E18" i="20" s="1"/>
  <c r="L19" i="20"/>
  <c r="D19" i="20" s="1"/>
  <c r="E19" i="20" s="1"/>
  <c r="L20" i="20"/>
  <c r="D20" i="20" s="1"/>
  <c r="E20" i="20" s="1"/>
  <c r="L21" i="20"/>
  <c r="D21" i="20" s="1"/>
  <c r="E21" i="20" s="1"/>
  <c r="L22" i="20"/>
  <c r="D22" i="20" s="1"/>
  <c r="E22" i="20" s="1"/>
  <c r="L23" i="20"/>
  <c r="D23" i="20" s="1"/>
  <c r="E23" i="20" s="1"/>
  <c r="L24" i="20"/>
  <c r="D24" i="20" s="1"/>
  <c r="E24" i="20" s="1"/>
  <c r="L25" i="20"/>
  <c r="D25" i="20" s="1"/>
  <c r="E25" i="20" s="1"/>
  <c r="L26" i="20"/>
  <c r="D26" i="20" s="1"/>
  <c r="E26" i="20" s="1"/>
  <c r="L27" i="20"/>
  <c r="D27" i="20" s="1"/>
  <c r="E27" i="20" s="1"/>
  <c r="L28" i="20"/>
  <c r="D28" i="20" s="1"/>
  <c r="E28" i="20" s="1"/>
  <c r="L29" i="20"/>
  <c r="D29" i="20" s="1"/>
  <c r="E29" i="20" s="1"/>
  <c r="D13" i="20"/>
  <c r="E13" i="20" s="1"/>
  <c r="L9" i="20"/>
  <c r="D9" i="20" s="1"/>
  <c r="E9" i="20" s="1"/>
  <c r="L8" i="20"/>
  <c r="D8" i="20" s="1"/>
  <c r="E8" i="20" s="1"/>
  <c r="L7" i="20"/>
  <c r="D7" i="20" s="1"/>
  <c r="E7" i="20" s="1"/>
  <c r="L6" i="20"/>
  <c r="D6" i="20" s="1"/>
  <c r="E6" i="20" s="1"/>
  <c r="L57" i="20"/>
  <c r="D57" i="20" s="1"/>
  <c r="E57" i="20" s="1"/>
  <c r="L56" i="20"/>
  <c r="D56" i="20" s="1"/>
  <c r="E56" i="20" s="1"/>
  <c r="L5" i="20"/>
  <c r="D5" i="20" s="1"/>
  <c r="E5" i="20" s="1"/>
  <c r="L4" i="20"/>
  <c r="D4" i="20" s="1"/>
  <c r="E4" i="20" s="1"/>
  <c r="L3" i="20"/>
  <c r="D3" i="20" s="1"/>
  <c r="E3" i="20" s="1"/>
  <c r="H12" i="19"/>
  <c r="I12" i="19"/>
  <c r="J12" i="19"/>
  <c r="H6" i="19"/>
  <c r="I6" i="19"/>
  <c r="J6" i="19"/>
  <c r="I5" i="19"/>
  <c r="H5" i="19"/>
  <c r="G18" i="19"/>
  <c r="I18" i="19" s="1"/>
  <c r="G17" i="19"/>
  <c r="J17" i="19" s="1"/>
  <c r="G16" i="19"/>
  <c r="J16" i="19" s="1"/>
  <c r="G15" i="19"/>
  <c r="H15" i="19" s="1"/>
  <c r="J14" i="19"/>
  <c r="I14" i="19"/>
  <c r="H14" i="19"/>
  <c r="J13" i="19"/>
  <c r="I13" i="19"/>
  <c r="H13" i="19"/>
  <c r="I11" i="19"/>
  <c r="G10" i="19"/>
  <c r="J10" i="19" s="1"/>
  <c r="G9" i="19"/>
  <c r="J9" i="19" s="1"/>
  <c r="G8" i="19"/>
  <c r="H8" i="19" s="1"/>
  <c r="G7" i="19"/>
  <c r="I7" i="19" s="1"/>
  <c r="J5" i="19"/>
  <c r="E602" i="18"/>
  <c r="E601" i="18"/>
  <c r="G599" i="18"/>
  <c r="F599" i="18"/>
  <c r="F598" i="18"/>
  <c r="G598" i="18"/>
  <c r="H591" i="18"/>
  <c r="H513" i="18"/>
  <c r="H514" i="18"/>
  <c r="H515" i="18"/>
  <c r="H516" i="18"/>
  <c r="H517" i="18"/>
  <c r="H518" i="18"/>
  <c r="H519" i="18"/>
  <c r="H520" i="18"/>
  <c r="H521" i="18"/>
  <c r="H522" i="18"/>
  <c r="H523" i="18"/>
  <c r="H524" i="18"/>
  <c r="H525" i="18"/>
  <c r="H526" i="18"/>
  <c r="H527" i="18"/>
  <c r="H528" i="18"/>
  <c r="H529" i="18"/>
  <c r="H530" i="18"/>
  <c r="H531" i="18"/>
  <c r="H532" i="18"/>
  <c r="H533" i="18"/>
  <c r="H534" i="18"/>
  <c r="H535" i="18"/>
  <c r="H536" i="18"/>
  <c r="H537" i="18"/>
  <c r="H538" i="18"/>
  <c r="H539" i="18"/>
  <c r="H540" i="18"/>
  <c r="H541" i="18"/>
  <c r="H542" i="18"/>
  <c r="H543" i="18"/>
  <c r="H544" i="18"/>
  <c r="H545" i="18"/>
  <c r="H546" i="18"/>
  <c r="H547" i="18"/>
  <c r="H548" i="18"/>
  <c r="H549" i="18"/>
  <c r="H550" i="18"/>
  <c r="H551" i="18"/>
  <c r="H552" i="18"/>
  <c r="H553" i="18"/>
  <c r="H554" i="18"/>
  <c r="H555" i="18"/>
  <c r="H556" i="18"/>
  <c r="H557" i="18"/>
  <c r="H558" i="18"/>
  <c r="H559" i="18"/>
  <c r="H560" i="18"/>
  <c r="H561" i="18"/>
  <c r="H562" i="18"/>
  <c r="H563" i="18"/>
  <c r="H564" i="18"/>
  <c r="H565" i="18"/>
  <c r="H566" i="18"/>
  <c r="H567" i="18"/>
  <c r="H568" i="18"/>
  <c r="H569" i="18"/>
  <c r="H570" i="18"/>
  <c r="H571" i="18"/>
  <c r="H572" i="18"/>
  <c r="H573" i="18"/>
  <c r="H574" i="18"/>
  <c r="H575" i="18"/>
  <c r="H576" i="18"/>
  <c r="H577" i="18"/>
  <c r="H578" i="18"/>
  <c r="H579" i="18"/>
  <c r="H580" i="18"/>
  <c r="H581" i="18"/>
  <c r="H582" i="18"/>
  <c r="H583" i="18"/>
  <c r="H584" i="18"/>
  <c r="H585" i="18"/>
  <c r="H586" i="18"/>
  <c r="H587" i="18"/>
  <c r="H588" i="18"/>
  <c r="H589" i="18"/>
  <c r="H590" i="18"/>
  <c r="H512" i="18"/>
  <c r="F597" i="18"/>
  <c r="G597" i="18"/>
  <c r="H508" i="18"/>
  <c r="H347" i="18"/>
  <c r="H348" i="18"/>
  <c r="H349" i="18"/>
  <c r="H350" i="18"/>
  <c r="H351" i="18"/>
  <c r="H352" i="18"/>
  <c r="H353" i="18"/>
  <c r="H354" i="18"/>
  <c r="H355" i="18"/>
  <c r="H356" i="18"/>
  <c r="H357" i="18"/>
  <c r="H358" i="18"/>
  <c r="H359" i="18"/>
  <c r="H360" i="18"/>
  <c r="H361" i="18"/>
  <c r="H362" i="18"/>
  <c r="H363" i="18"/>
  <c r="H364" i="18"/>
  <c r="H365" i="18"/>
  <c r="H366" i="18"/>
  <c r="H367" i="18"/>
  <c r="H368" i="18"/>
  <c r="H369" i="18"/>
  <c r="H370" i="18"/>
  <c r="H371" i="18"/>
  <c r="H372" i="18"/>
  <c r="H373" i="18"/>
  <c r="H374" i="18"/>
  <c r="H375" i="18"/>
  <c r="H376" i="18"/>
  <c r="H377" i="18"/>
  <c r="H378" i="18"/>
  <c r="H379" i="18"/>
  <c r="H380" i="18"/>
  <c r="H381" i="18"/>
  <c r="H382" i="18"/>
  <c r="H383" i="18"/>
  <c r="H384" i="18"/>
  <c r="H385" i="18"/>
  <c r="H386" i="18"/>
  <c r="H387" i="18"/>
  <c r="H388" i="18"/>
  <c r="H389" i="18"/>
  <c r="H390" i="18"/>
  <c r="H391" i="18"/>
  <c r="H392" i="18"/>
  <c r="H393" i="18"/>
  <c r="H394" i="18"/>
  <c r="H395" i="18"/>
  <c r="H396" i="18"/>
  <c r="H397" i="18"/>
  <c r="H398" i="18"/>
  <c r="H399" i="18"/>
  <c r="H400" i="18"/>
  <c r="H401" i="18"/>
  <c r="H402" i="18"/>
  <c r="H403" i="18"/>
  <c r="H404" i="18"/>
  <c r="H405" i="18"/>
  <c r="H406" i="18"/>
  <c r="H407" i="18"/>
  <c r="H408" i="18"/>
  <c r="H409" i="18"/>
  <c r="H410" i="18"/>
  <c r="H411" i="18"/>
  <c r="H412" i="18"/>
  <c r="H413" i="18"/>
  <c r="H414" i="18"/>
  <c r="H415" i="18"/>
  <c r="H416" i="18"/>
  <c r="H417" i="18"/>
  <c r="H418" i="18"/>
  <c r="H419" i="18"/>
  <c r="H420" i="18"/>
  <c r="H421" i="18"/>
  <c r="H422" i="18"/>
  <c r="H423" i="18"/>
  <c r="H424" i="18"/>
  <c r="H425" i="18"/>
  <c r="H426" i="18"/>
  <c r="H427" i="18"/>
  <c r="H428" i="18"/>
  <c r="H429" i="18"/>
  <c r="H430" i="18"/>
  <c r="H431" i="18"/>
  <c r="H432" i="18"/>
  <c r="H433" i="18"/>
  <c r="H434" i="18"/>
  <c r="H435" i="18"/>
  <c r="H436" i="18"/>
  <c r="H437" i="18"/>
  <c r="H438" i="18"/>
  <c r="H439" i="18"/>
  <c r="H440" i="18"/>
  <c r="H441" i="18"/>
  <c r="H442" i="18"/>
  <c r="H443" i="18"/>
  <c r="H444" i="18"/>
  <c r="H445" i="18"/>
  <c r="H446" i="18"/>
  <c r="H447" i="18"/>
  <c r="H448" i="18"/>
  <c r="H449" i="18"/>
  <c r="H450" i="18"/>
  <c r="H451" i="18"/>
  <c r="H452" i="18"/>
  <c r="H453" i="18"/>
  <c r="H454" i="18"/>
  <c r="H455" i="18"/>
  <c r="H456" i="18"/>
  <c r="H457" i="18"/>
  <c r="H458" i="18"/>
  <c r="H459" i="18"/>
  <c r="H460" i="18"/>
  <c r="H461" i="18"/>
  <c r="H462" i="18"/>
  <c r="H463" i="18"/>
  <c r="H464" i="18"/>
  <c r="H465" i="18"/>
  <c r="H466" i="18"/>
  <c r="H467" i="18"/>
  <c r="H468" i="18"/>
  <c r="H469" i="18"/>
  <c r="H470" i="18"/>
  <c r="H471" i="18"/>
  <c r="H472" i="18"/>
  <c r="H473" i="18"/>
  <c r="H474" i="18"/>
  <c r="H475" i="18"/>
  <c r="H476" i="18"/>
  <c r="H477" i="18"/>
  <c r="H478" i="18"/>
  <c r="H479" i="18"/>
  <c r="H480" i="18"/>
  <c r="H481" i="18"/>
  <c r="H482" i="18"/>
  <c r="H483" i="18"/>
  <c r="H484" i="18"/>
  <c r="H485" i="18"/>
  <c r="H486" i="18"/>
  <c r="H487" i="18"/>
  <c r="H488" i="18"/>
  <c r="H489" i="18"/>
  <c r="H490" i="18"/>
  <c r="H491" i="18"/>
  <c r="H492" i="18"/>
  <c r="H493" i="18"/>
  <c r="H494" i="18"/>
  <c r="H495" i="18"/>
  <c r="H496" i="18"/>
  <c r="H497" i="18"/>
  <c r="H498" i="18"/>
  <c r="H499" i="18"/>
  <c r="H500" i="18"/>
  <c r="H501" i="18"/>
  <c r="H502" i="18"/>
  <c r="H503" i="18"/>
  <c r="H504" i="18"/>
  <c r="H505" i="18"/>
  <c r="H506" i="18"/>
  <c r="H507" i="18"/>
  <c r="H346" i="18"/>
  <c r="F596" i="18"/>
  <c r="G596" i="18"/>
  <c r="H342" i="18"/>
  <c r="H341" i="18"/>
  <c r="H200" i="18"/>
  <c r="H201" i="18"/>
  <c r="H202" i="18"/>
  <c r="H203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H236" i="18"/>
  <c r="H237" i="18"/>
  <c r="H238" i="18"/>
  <c r="H239" i="18"/>
  <c r="H240" i="18"/>
  <c r="H241" i="18"/>
  <c r="H242" i="18"/>
  <c r="H243" i="18"/>
  <c r="H244" i="18"/>
  <c r="H245" i="18"/>
  <c r="H246" i="18"/>
  <c r="H247" i="18"/>
  <c r="H248" i="18"/>
  <c r="H249" i="18"/>
  <c r="H250" i="18"/>
  <c r="H251" i="18"/>
  <c r="H252" i="18"/>
  <c r="H253" i="18"/>
  <c r="H254" i="18"/>
  <c r="H255" i="18"/>
  <c r="H256" i="18"/>
  <c r="H257" i="18"/>
  <c r="H258" i="18"/>
  <c r="H259" i="18"/>
  <c r="H260" i="18"/>
  <c r="H261" i="18"/>
  <c r="H262" i="18"/>
  <c r="H263" i="18"/>
  <c r="H264" i="18"/>
  <c r="H265" i="18"/>
  <c r="H266" i="18"/>
  <c r="H267" i="18"/>
  <c r="H268" i="18"/>
  <c r="H269" i="18"/>
  <c r="H270" i="18"/>
  <c r="H271" i="18"/>
  <c r="H272" i="18"/>
  <c r="H273" i="18"/>
  <c r="H274" i="18"/>
  <c r="H275" i="18"/>
  <c r="H276" i="18"/>
  <c r="H277" i="18"/>
  <c r="H278" i="18"/>
  <c r="H279" i="18"/>
  <c r="H280" i="18"/>
  <c r="H281" i="18"/>
  <c r="H282" i="18"/>
  <c r="H283" i="18"/>
  <c r="H284" i="18"/>
  <c r="H285" i="18"/>
  <c r="H286" i="18"/>
  <c r="H287" i="18"/>
  <c r="H288" i="18"/>
  <c r="H289" i="18"/>
  <c r="H290" i="18"/>
  <c r="H291" i="18"/>
  <c r="H292" i="18"/>
  <c r="H293" i="18"/>
  <c r="H294" i="18"/>
  <c r="H295" i="18"/>
  <c r="H296" i="18"/>
  <c r="H297" i="18"/>
  <c r="H298" i="18"/>
  <c r="H299" i="18"/>
  <c r="H300" i="18"/>
  <c r="H301" i="18"/>
  <c r="H302" i="18"/>
  <c r="H303" i="18"/>
  <c r="H304" i="18"/>
  <c r="H305" i="18"/>
  <c r="H306" i="18"/>
  <c r="H307" i="18"/>
  <c r="H308" i="18"/>
  <c r="H309" i="18"/>
  <c r="H310" i="18"/>
  <c r="H311" i="18"/>
  <c r="H312" i="18"/>
  <c r="H313" i="18"/>
  <c r="H314" i="18"/>
  <c r="H315" i="18"/>
  <c r="H316" i="18"/>
  <c r="H317" i="18"/>
  <c r="H318" i="18"/>
  <c r="H319" i="18"/>
  <c r="H320" i="18"/>
  <c r="H321" i="18"/>
  <c r="H322" i="18"/>
  <c r="H323" i="18"/>
  <c r="H324" i="18"/>
  <c r="H325" i="18"/>
  <c r="H326" i="18"/>
  <c r="H327" i="18"/>
  <c r="H328" i="18"/>
  <c r="H329" i="18"/>
  <c r="H330" i="18"/>
  <c r="H331" i="18"/>
  <c r="H332" i="18"/>
  <c r="H333" i="18"/>
  <c r="H334" i="18"/>
  <c r="H335" i="18"/>
  <c r="H336" i="18"/>
  <c r="H337" i="18"/>
  <c r="H338" i="18"/>
  <c r="H339" i="18"/>
  <c r="H340" i="18"/>
  <c r="H199" i="18"/>
  <c r="F595" i="18"/>
  <c r="G595" i="18"/>
  <c r="E8" i="21" l="1"/>
  <c r="E31" i="21"/>
  <c r="E32" i="21" s="1"/>
  <c r="K12" i="19"/>
  <c r="K6" i="19"/>
  <c r="J8" i="19"/>
  <c r="J7" i="19"/>
  <c r="K14" i="19"/>
  <c r="J15" i="19"/>
  <c r="H9" i="19"/>
  <c r="K13" i="19"/>
  <c r="H16" i="19"/>
  <c r="I9" i="19"/>
  <c r="I16" i="19"/>
  <c r="I8" i="19"/>
  <c r="J11" i="19"/>
  <c r="I15" i="19"/>
  <c r="K15" i="19" s="1"/>
  <c r="J18" i="19"/>
  <c r="H17" i="19"/>
  <c r="H11" i="19"/>
  <c r="I17" i="19"/>
  <c r="H10" i="19"/>
  <c r="H7" i="19"/>
  <c r="K7" i="19" s="1"/>
  <c r="I10" i="19"/>
  <c r="H18" i="19"/>
  <c r="K9" i="19" l="1"/>
  <c r="K8" i="19"/>
  <c r="K16" i="19"/>
  <c r="K18" i="19"/>
  <c r="J19" i="19"/>
  <c r="K10" i="19"/>
  <c r="K11" i="19"/>
  <c r="I19" i="19"/>
  <c r="K17" i="19"/>
  <c r="K5" i="19"/>
  <c r="H19" i="19"/>
  <c r="K19" i="19" l="1"/>
  <c r="K21" i="19" l="1"/>
  <c r="K22" i="19" s="1"/>
  <c r="E6" i="26" s="1"/>
  <c r="F6" i="26" s="1"/>
  <c r="H195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58" i="18"/>
  <c r="H59" i="18"/>
  <c r="H60" i="18"/>
  <c r="H61" i="18"/>
  <c r="H62" i="18"/>
  <c r="H63" i="18"/>
  <c r="H64" i="18"/>
  <c r="H65" i="18"/>
  <c r="H66" i="18"/>
  <c r="H67" i="18"/>
  <c r="H68" i="18"/>
  <c r="H69" i="18"/>
  <c r="H70" i="18"/>
  <c r="H71" i="18"/>
  <c r="H72" i="18"/>
  <c r="H73" i="18"/>
  <c r="H74" i="18"/>
  <c r="H75" i="18"/>
  <c r="H76" i="18"/>
  <c r="H77" i="18"/>
  <c r="H78" i="18"/>
  <c r="H79" i="18"/>
  <c r="H80" i="18"/>
  <c r="H81" i="18"/>
  <c r="H82" i="18"/>
  <c r="H83" i="18"/>
  <c r="H84" i="18"/>
  <c r="H85" i="18"/>
  <c r="H86" i="18"/>
  <c r="H87" i="18"/>
  <c r="H88" i="18"/>
  <c r="H89" i="18"/>
  <c r="H90" i="18"/>
  <c r="H91" i="18"/>
  <c r="H92" i="18"/>
  <c r="H93" i="18"/>
  <c r="H94" i="18"/>
  <c r="H95" i="18"/>
  <c r="H96" i="18"/>
  <c r="H97" i="18"/>
  <c r="H98" i="18"/>
  <c r="H99" i="18"/>
  <c r="H100" i="18"/>
  <c r="H101" i="18"/>
  <c r="H102" i="18"/>
  <c r="H103" i="18"/>
  <c r="H104" i="18"/>
  <c r="H105" i="18"/>
  <c r="H106" i="18"/>
  <c r="H107" i="18"/>
  <c r="H108" i="18"/>
  <c r="H109" i="18"/>
  <c r="H110" i="18"/>
  <c r="H111" i="18"/>
  <c r="H112" i="18"/>
  <c r="H113" i="18"/>
  <c r="H114" i="18"/>
  <c r="H115" i="18"/>
  <c r="H116" i="18"/>
  <c r="H117" i="18"/>
  <c r="H118" i="18"/>
  <c r="H119" i="18"/>
  <c r="H120" i="18"/>
  <c r="H121" i="18"/>
  <c r="H122" i="18"/>
  <c r="H123" i="18"/>
  <c r="H124" i="18"/>
  <c r="H125" i="18"/>
  <c r="H126" i="18"/>
  <c r="H127" i="18"/>
  <c r="H128" i="18"/>
  <c r="H129" i="18"/>
  <c r="H130" i="18"/>
  <c r="H131" i="18"/>
  <c r="H132" i="18"/>
  <c r="H133" i="18"/>
  <c r="H134" i="18"/>
  <c r="H135" i="18"/>
  <c r="H136" i="18"/>
  <c r="H137" i="18"/>
  <c r="H138" i="18"/>
  <c r="H139" i="18"/>
  <c r="H140" i="18"/>
  <c r="H141" i="18"/>
  <c r="H142" i="18"/>
  <c r="H143" i="18"/>
  <c r="H144" i="18"/>
  <c r="H145" i="18"/>
  <c r="H146" i="18"/>
  <c r="H147" i="18"/>
  <c r="H148" i="18"/>
  <c r="H149" i="18"/>
  <c r="H150" i="18"/>
  <c r="H151" i="18"/>
  <c r="H152" i="18"/>
  <c r="H153" i="18"/>
  <c r="H154" i="18"/>
  <c r="H155" i="18"/>
  <c r="H156" i="18"/>
  <c r="H157" i="18"/>
  <c r="H158" i="18"/>
  <c r="H159" i="18"/>
  <c r="H160" i="18"/>
  <c r="H161" i="18"/>
  <c r="H162" i="18"/>
  <c r="H163" i="18"/>
  <c r="H164" i="18"/>
  <c r="H165" i="18"/>
  <c r="H166" i="18"/>
  <c r="H167" i="18"/>
  <c r="H168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4" i="18"/>
  <c r="E600" i="18"/>
  <c r="E115" i="17"/>
  <c r="E114" i="17"/>
  <c r="F103" i="17"/>
  <c r="F107" i="17" s="1"/>
  <c r="E87" i="17"/>
  <c r="E86" i="17"/>
  <c r="E85" i="17"/>
  <c r="E84" i="17"/>
  <c r="E83" i="17"/>
  <c r="E77" i="17"/>
  <c r="E75" i="17"/>
  <c r="E76" i="17" s="1"/>
  <c r="E74" i="17"/>
  <c r="E73" i="17"/>
  <c r="E72" i="17"/>
  <c r="F59" i="17"/>
  <c r="F58" i="17"/>
  <c r="E52" i="17"/>
  <c r="E51" i="17"/>
  <c r="E50" i="17"/>
  <c r="E49" i="17"/>
  <c r="E48" i="17"/>
  <c r="E47" i="17"/>
  <c r="E46" i="17"/>
  <c r="E45" i="17"/>
  <c r="E41" i="17"/>
  <c r="E40" i="17"/>
  <c r="F28" i="17"/>
  <c r="E115" i="16"/>
  <c r="E114" i="16"/>
  <c r="F107" i="16"/>
  <c r="F128" i="16" s="1"/>
  <c r="F103" i="16"/>
  <c r="E87" i="16"/>
  <c r="E86" i="16"/>
  <c r="E85" i="16"/>
  <c r="E84" i="16"/>
  <c r="E83" i="16"/>
  <c r="E77" i="16"/>
  <c r="E75" i="16"/>
  <c r="E76" i="16" s="1"/>
  <c r="E74" i="16"/>
  <c r="E73" i="16"/>
  <c r="E72" i="16"/>
  <c r="F59" i="16"/>
  <c r="F58" i="16"/>
  <c r="E52" i="16"/>
  <c r="E51" i="16"/>
  <c r="E50" i="16"/>
  <c r="E49" i="16"/>
  <c r="E48" i="16"/>
  <c r="E47" i="16"/>
  <c r="E46" i="16"/>
  <c r="E45" i="16"/>
  <c r="E41" i="16"/>
  <c r="E40" i="16"/>
  <c r="F28" i="16"/>
  <c r="E115" i="15"/>
  <c r="E114" i="15"/>
  <c r="F103" i="15"/>
  <c r="F107" i="15" s="1"/>
  <c r="E87" i="15"/>
  <c r="E86" i="15"/>
  <c r="E85" i="15"/>
  <c r="E84" i="15"/>
  <c r="E83" i="15"/>
  <c r="E77" i="15"/>
  <c r="E75" i="15"/>
  <c r="E76" i="15" s="1"/>
  <c r="E74" i="15"/>
  <c r="E73" i="15"/>
  <c r="E72" i="15"/>
  <c r="F59" i="15"/>
  <c r="F58" i="15"/>
  <c r="E52" i="15"/>
  <c r="E51" i="15"/>
  <c r="E50" i="15"/>
  <c r="E49" i="15"/>
  <c r="E48" i="15"/>
  <c r="E47" i="15"/>
  <c r="E46" i="15"/>
  <c r="E45" i="15"/>
  <c r="E41" i="15"/>
  <c r="E40" i="15"/>
  <c r="F28" i="15"/>
  <c r="F59" i="14"/>
  <c r="F59" i="7"/>
  <c r="E115" i="14"/>
  <c r="E114" i="14"/>
  <c r="F103" i="14"/>
  <c r="F107" i="14" s="1"/>
  <c r="E87" i="14"/>
  <c r="E86" i="14"/>
  <c r="E85" i="14"/>
  <c r="E84" i="14"/>
  <c r="E83" i="14"/>
  <c r="E77" i="14"/>
  <c r="E76" i="14"/>
  <c r="E75" i="14"/>
  <c r="E74" i="14"/>
  <c r="E72" i="14"/>
  <c r="E73" i="14" s="1"/>
  <c r="F58" i="14"/>
  <c r="E52" i="14"/>
  <c r="E51" i="14"/>
  <c r="E50" i="14"/>
  <c r="E49" i="14"/>
  <c r="E48" i="14"/>
  <c r="E47" i="14"/>
  <c r="E46" i="14"/>
  <c r="E45" i="14"/>
  <c r="E41" i="14"/>
  <c r="E40" i="14"/>
  <c r="F28" i="14"/>
  <c r="F29" i="15" l="1"/>
  <c r="F35" i="15" s="1"/>
  <c r="F29" i="14"/>
  <c r="F35" i="14" s="1"/>
  <c r="F61" i="14"/>
  <c r="F66" i="14" s="1"/>
  <c r="F128" i="17"/>
  <c r="F29" i="17"/>
  <c r="F35" i="17" s="1"/>
  <c r="F56" i="17"/>
  <c r="F61" i="17" s="1"/>
  <c r="F66" i="17" s="1"/>
  <c r="F29" i="16"/>
  <c r="F35" i="16" s="1"/>
  <c r="F56" i="16"/>
  <c r="F61" i="16" s="1"/>
  <c r="F66" i="16" s="1"/>
  <c r="F128" i="15"/>
  <c r="F56" i="15"/>
  <c r="F61" i="15" s="1"/>
  <c r="F66" i="15" s="1"/>
  <c r="F128" i="14"/>
  <c r="F73" i="15" l="1"/>
  <c r="F41" i="15"/>
  <c r="F40" i="15"/>
  <c r="F42" i="15" s="1"/>
  <c r="F76" i="15"/>
  <c r="F72" i="15"/>
  <c r="F75" i="15"/>
  <c r="F77" i="15"/>
  <c r="F74" i="15"/>
  <c r="F124" i="15"/>
  <c r="F40" i="14"/>
  <c r="F74" i="14"/>
  <c r="F124" i="14"/>
  <c r="F41" i="14"/>
  <c r="F73" i="14"/>
  <c r="F72" i="14"/>
  <c r="F75" i="14"/>
  <c r="F77" i="14"/>
  <c r="F76" i="14"/>
  <c r="F77" i="17"/>
  <c r="F40" i="17"/>
  <c r="F76" i="17"/>
  <c r="F72" i="17"/>
  <c r="F124" i="17"/>
  <c r="F74" i="17"/>
  <c r="F73" i="17"/>
  <c r="F41" i="17"/>
  <c r="F75" i="17"/>
  <c r="F73" i="16"/>
  <c r="F77" i="16"/>
  <c r="F72" i="16"/>
  <c r="F40" i="16"/>
  <c r="F76" i="16"/>
  <c r="F74" i="16"/>
  <c r="F124" i="16"/>
  <c r="F41" i="16"/>
  <c r="F75" i="16"/>
  <c r="F64" i="15" l="1"/>
  <c r="K47" i="15"/>
  <c r="F51" i="15"/>
  <c r="F48" i="15"/>
  <c r="K49" i="15"/>
  <c r="K50" i="15"/>
  <c r="K46" i="15"/>
  <c r="F78" i="15"/>
  <c r="F126" i="15" s="1"/>
  <c r="K48" i="15"/>
  <c r="K45" i="15"/>
  <c r="K52" i="15"/>
  <c r="K51" i="15"/>
  <c r="F78" i="14"/>
  <c r="F42" i="14"/>
  <c r="K49" i="14" s="1"/>
  <c r="F49" i="14"/>
  <c r="K51" i="14"/>
  <c r="K45" i="14"/>
  <c r="K48" i="14"/>
  <c r="K47" i="14"/>
  <c r="K52" i="14"/>
  <c r="K50" i="14"/>
  <c r="K46" i="14"/>
  <c r="F52" i="14"/>
  <c r="F51" i="14"/>
  <c r="F46" i="14"/>
  <c r="F45" i="14"/>
  <c r="F78" i="17"/>
  <c r="F42" i="17"/>
  <c r="F42" i="16"/>
  <c r="F78" i="16"/>
  <c r="F47" i="15"/>
  <c r="F52" i="15"/>
  <c r="F53" i="15" s="1"/>
  <c r="F65" i="15" s="1"/>
  <c r="F67" i="15" s="1"/>
  <c r="F49" i="15"/>
  <c r="F45" i="15"/>
  <c r="F46" i="15"/>
  <c r="F50" i="15"/>
  <c r="F47" i="14"/>
  <c r="F50" i="14"/>
  <c r="F64" i="14"/>
  <c r="F48" i="14"/>
  <c r="F126" i="14"/>
  <c r="K53" i="15" l="1"/>
  <c r="K65" i="15" s="1"/>
  <c r="K67" i="15" s="1"/>
  <c r="K125" i="15" s="1"/>
  <c r="K88" i="15"/>
  <c r="K86" i="15"/>
  <c r="K85" i="15"/>
  <c r="K83" i="15"/>
  <c r="K84" i="15"/>
  <c r="K87" i="15"/>
  <c r="K47" i="17"/>
  <c r="K51" i="17"/>
  <c r="K50" i="17"/>
  <c r="K46" i="17"/>
  <c r="K45" i="17"/>
  <c r="K52" i="17"/>
  <c r="K48" i="17"/>
  <c r="K49" i="17"/>
  <c r="K45" i="16"/>
  <c r="K50" i="16"/>
  <c r="K49" i="16"/>
  <c r="K47" i="16"/>
  <c r="K48" i="16"/>
  <c r="K46" i="16"/>
  <c r="K52" i="16"/>
  <c r="K51" i="16"/>
  <c r="K53" i="14"/>
  <c r="K65" i="14" s="1"/>
  <c r="K67" i="14" s="1"/>
  <c r="K125" i="14" s="1"/>
  <c r="F53" i="14"/>
  <c r="F65" i="14" s="1"/>
  <c r="F67" i="14" s="1"/>
  <c r="F86" i="14" s="1"/>
  <c r="F64" i="17"/>
  <c r="F51" i="17"/>
  <c r="F47" i="17"/>
  <c r="F50" i="17"/>
  <c r="F49" i="17"/>
  <c r="F48" i="17"/>
  <c r="F46" i="17"/>
  <c r="F45" i="17"/>
  <c r="F52" i="17"/>
  <c r="F126" i="17"/>
  <c r="F64" i="16"/>
  <c r="F49" i="16"/>
  <c r="F50" i="16"/>
  <c r="F48" i="16"/>
  <c r="F51" i="16"/>
  <c r="F46" i="16"/>
  <c r="F45" i="16"/>
  <c r="F52" i="16"/>
  <c r="F47" i="16"/>
  <c r="F126" i="16"/>
  <c r="F125" i="15"/>
  <c r="F84" i="15"/>
  <c r="F86" i="15"/>
  <c r="F85" i="15"/>
  <c r="F88" i="15"/>
  <c r="F87" i="15"/>
  <c r="F83" i="15"/>
  <c r="K89" i="15" l="1"/>
  <c r="K96" i="15" s="1"/>
  <c r="K98" i="15" s="1"/>
  <c r="K53" i="17"/>
  <c r="K65" i="17" s="1"/>
  <c r="K67" i="17" s="1"/>
  <c r="K125" i="17" s="1"/>
  <c r="K53" i="16"/>
  <c r="K65" i="16" s="1"/>
  <c r="K67" i="16" s="1"/>
  <c r="K125" i="16" s="1"/>
  <c r="F84" i="14"/>
  <c r="K86" i="14"/>
  <c r="K84" i="14"/>
  <c r="K88" i="14"/>
  <c r="K83" i="14"/>
  <c r="K87" i="14"/>
  <c r="K85" i="14"/>
  <c r="F88" i="14"/>
  <c r="F85" i="14"/>
  <c r="F125" i="14"/>
  <c r="F87" i="14"/>
  <c r="F83" i="14"/>
  <c r="F53" i="17"/>
  <c r="F65" i="17" s="1"/>
  <c r="F67" i="17"/>
  <c r="F53" i="16"/>
  <c r="F65" i="16" s="1"/>
  <c r="F67" i="16" s="1"/>
  <c r="F89" i="15"/>
  <c r="F96" i="15" s="1"/>
  <c r="F98" i="15" s="1"/>
  <c r="F109" i="15" s="1"/>
  <c r="K127" i="15" l="1"/>
  <c r="K129" i="15" s="1"/>
  <c r="K109" i="15"/>
  <c r="K114" i="15" s="1"/>
  <c r="F127" i="15"/>
  <c r="F129" i="15" s="1"/>
  <c r="F89" i="14"/>
  <c r="F96" i="14" s="1"/>
  <c r="F98" i="14" s="1"/>
  <c r="F109" i="14" s="1"/>
  <c r="K88" i="17"/>
  <c r="K83" i="17"/>
  <c r="K87" i="17"/>
  <c r="K86" i="17"/>
  <c r="K85" i="17"/>
  <c r="K84" i="17"/>
  <c r="K88" i="16"/>
  <c r="K87" i="16"/>
  <c r="K86" i="16"/>
  <c r="K83" i="16"/>
  <c r="K84" i="16"/>
  <c r="K85" i="16"/>
  <c r="K89" i="14"/>
  <c r="K96" i="14" s="1"/>
  <c r="K98" i="14" s="1"/>
  <c r="F125" i="17"/>
  <c r="F85" i="17"/>
  <c r="F88" i="17"/>
  <c r="F83" i="17"/>
  <c r="F87" i="17"/>
  <c r="F84" i="17"/>
  <c r="F86" i="17"/>
  <c r="F125" i="16"/>
  <c r="F84" i="16"/>
  <c r="F85" i="16"/>
  <c r="F88" i="16"/>
  <c r="F87" i="16"/>
  <c r="F83" i="16"/>
  <c r="F86" i="16"/>
  <c r="F114" i="15"/>
  <c r="K89" i="17" l="1"/>
  <c r="K96" i="17" s="1"/>
  <c r="K98" i="17" s="1"/>
  <c r="K115" i="15"/>
  <c r="K117" i="15" s="1"/>
  <c r="K120" i="15" s="1"/>
  <c r="K130" i="15" s="1"/>
  <c r="K131" i="15" s="1"/>
  <c r="F127" i="14"/>
  <c r="F129" i="14" s="1"/>
  <c r="K127" i="17"/>
  <c r="K129" i="17" s="1"/>
  <c r="K109" i="17"/>
  <c r="K114" i="17" s="1"/>
  <c r="K89" i="16"/>
  <c r="K96" i="16" s="1"/>
  <c r="K98" i="16" s="1"/>
  <c r="K127" i="14"/>
  <c r="K129" i="14" s="1"/>
  <c r="K109" i="14"/>
  <c r="K114" i="14" s="1"/>
  <c r="F89" i="17"/>
  <c r="F96" i="17" s="1"/>
  <c r="F98" i="17" s="1"/>
  <c r="F127" i="17" s="1"/>
  <c r="F129" i="17" s="1"/>
  <c r="F89" i="16"/>
  <c r="F96" i="16" s="1"/>
  <c r="F98" i="16" s="1"/>
  <c r="F115" i="15"/>
  <c r="F114" i="14"/>
  <c r="F115" i="14" s="1"/>
  <c r="K132" i="15" l="1"/>
  <c r="B18" i="23" s="1"/>
  <c r="F18" i="23" s="1"/>
  <c r="J8" i="25"/>
  <c r="K8" i="25" s="1"/>
  <c r="K115" i="17"/>
  <c r="K117" i="17" s="1"/>
  <c r="K120" i="17" s="1"/>
  <c r="K130" i="17" s="1"/>
  <c r="K131" i="17" s="1"/>
  <c r="F109" i="17"/>
  <c r="F114" i="17" s="1"/>
  <c r="K127" i="16"/>
  <c r="K129" i="16" s="1"/>
  <c r="K109" i="16"/>
  <c r="K114" i="16" s="1"/>
  <c r="K115" i="14"/>
  <c r="K117" i="14" s="1"/>
  <c r="K120" i="14" s="1"/>
  <c r="K130" i="14" s="1"/>
  <c r="K131" i="14" s="1"/>
  <c r="F127" i="16"/>
  <c r="F129" i="16" s="1"/>
  <c r="F109" i="16"/>
  <c r="F117" i="15"/>
  <c r="F120" i="15" s="1"/>
  <c r="F130" i="15" s="1"/>
  <c r="F131" i="15" s="1"/>
  <c r="F117" i="14"/>
  <c r="F120" i="14" s="1"/>
  <c r="F130" i="14" s="1"/>
  <c r="F131" i="14" s="1"/>
  <c r="G18" i="23" l="1"/>
  <c r="H18" i="23"/>
  <c r="K132" i="17"/>
  <c r="B15" i="23" s="1"/>
  <c r="F15" i="23" s="1"/>
  <c r="J10" i="25"/>
  <c r="K10" i="25" s="1"/>
  <c r="K115" i="16"/>
  <c r="K117" i="16" s="1"/>
  <c r="K120" i="16" s="1"/>
  <c r="K130" i="16" s="1"/>
  <c r="K131" i="16" s="1"/>
  <c r="K132" i="14"/>
  <c r="B17" i="23" s="1"/>
  <c r="F17" i="23" s="1"/>
  <c r="J7" i="25"/>
  <c r="K7" i="25" s="1"/>
  <c r="E7" i="25"/>
  <c r="F7" i="25" s="1"/>
  <c r="F132" i="14"/>
  <c r="B5" i="23" s="1"/>
  <c r="F5" i="23" s="1"/>
  <c r="E8" i="25"/>
  <c r="F8" i="25" s="1"/>
  <c r="F132" i="15"/>
  <c r="B6" i="23" s="1"/>
  <c r="F6" i="23" s="1"/>
  <c r="F115" i="17"/>
  <c r="F117" i="17" s="1"/>
  <c r="F114" i="16"/>
  <c r="I18" i="23" l="1"/>
  <c r="H15" i="23"/>
  <c r="G15" i="23"/>
  <c r="I15" i="23" s="1"/>
  <c r="K132" i="16"/>
  <c r="B19" i="23" s="1"/>
  <c r="F19" i="23" s="1"/>
  <c r="J9" i="25"/>
  <c r="K9" i="25" s="1"/>
  <c r="G17" i="23"/>
  <c r="H17" i="23"/>
  <c r="G6" i="23"/>
  <c r="H6" i="23"/>
  <c r="H5" i="23"/>
  <c r="G5" i="23"/>
  <c r="F120" i="17"/>
  <c r="F130" i="17" s="1"/>
  <c r="F131" i="17" s="1"/>
  <c r="F115" i="16"/>
  <c r="F117" i="16" s="1"/>
  <c r="F120" i="16" s="1"/>
  <c r="F130" i="16" s="1"/>
  <c r="F131" i="16" s="1"/>
  <c r="E9" i="25" s="1"/>
  <c r="F9" i="25" s="1"/>
  <c r="I6" i="23" l="1"/>
  <c r="G19" i="23"/>
  <c r="H19" i="23"/>
  <c r="I5" i="23"/>
  <c r="I17" i="23"/>
  <c r="E10" i="25"/>
  <c r="F10" i="25" s="1"/>
  <c r="F132" i="17"/>
  <c r="B3" i="23" s="1"/>
  <c r="F3" i="23" s="1"/>
  <c r="F132" i="16"/>
  <c r="B7" i="23" s="1"/>
  <c r="F7" i="23" s="1"/>
  <c r="I19" i="23" l="1"/>
  <c r="H7" i="23"/>
  <c r="G7" i="23"/>
  <c r="H3" i="23"/>
  <c r="G3" i="23"/>
  <c r="I3" i="23" s="1"/>
  <c r="I7" i="23" l="1"/>
  <c r="K11" i="25"/>
  <c r="K13" i="25" l="1"/>
  <c r="F13" i="25"/>
  <c r="K14" i="25" l="1"/>
  <c r="K12" i="25"/>
  <c r="F11" i="25"/>
  <c r="F14" i="25" l="1"/>
  <c r="F12" i="25"/>
  <c r="E87" i="7" l="1"/>
  <c r="E86" i="4"/>
  <c r="E85" i="7"/>
  <c r="E77" i="7"/>
  <c r="E75" i="7"/>
  <c r="E76" i="7" s="1"/>
  <c r="E74" i="7"/>
  <c r="E84" i="4"/>
  <c r="E76" i="4"/>
  <c r="E74" i="4"/>
  <c r="E75" i="4" s="1"/>
  <c r="E73" i="4"/>
  <c r="F28" i="4" l="1"/>
  <c r="E83" i="7" l="1"/>
  <c r="F58" i="7" l="1"/>
  <c r="F35" i="7"/>
  <c r="E115" i="7"/>
  <c r="E114" i="7"/>
  <c r="F103" i="7"/>
  <c r="F107" i="7" s="1"/>
  <c r="E86" i="7"/>
  <c r="E84" i="7"/>
  <c r="E72" i="7"/>
  <c r="E73" i="7" s="1"/>
  <c r="E52" i="7"/>
  <c r="E51" i="7"/>
  <c r="E50" i="7"/>
  <c r="E49" i="7"/>
  <c r="E48" i="7"/>
  <c r="E47" i="7"/>
  <c r="E46" i="7"/>
  <c r="E45" i="7"/>
  <c r="E41" i="7"/>
  <c r="E40" i="7"/>
  <c r="E114" i="4"/>
  <c r="E113" i="4"/>
  <c r="F102" i="4"/>
  <c r="F106" i="4" s="1"/>
  <c r="F127" i="4" s="1"/>
  <c r="E9" i="6"/>
  <c r="E8" i="6"/>
  <c r="E7" i="6"/>
  <c r="E5" i="6"/>
  <c r="D5" i="6"/>
  <c r="L5" i="6"/>
  <c r="L6" i="6"/>
  <c r="D6" i="6" s="1"/>
  <c r="E6" i="6" s="1"/>
  <c r="L7" i="6"/>
  <c r="D7" i="6" s="1"/>
  <c r="E4" i="6"/>
  <c r="D4" i="6"/>
  <c r="L4" i="6"/>
  <c r="E3" i="6"/>
  <c r="D3" i="6"/>
  <c r="L3" i="6"/>
  <c r="E85" i="4"/>
  <c r="E83" i="4"/>
  <c r="E82" i="4"/>
  <c r="F40" i="7" l="1"/>
  <c r="F41" i="7"/>
  <c r="F73" i="7"/>
  <c r="F61" i="7"/>
  <c r="F66" i="7" s="1"/>
  <c r="F72" i="7"/>
  <c r="F74" i="7"/>
  <c r="F76" i="7"/>
  <c r="F75" i="7"/>
  <c r="F128" i="7"/>
  <c r="F124" i="7"/>
  <c r="F77" i="7"/>
  <c r="E71" i="4"/>
  <c r="E51" i="4"/>
  <c r="E50" i="4"/>
  <c r="E49" i="4"/>
  <c r="E48" i="4"/>
  <c r="E47" i="4"/>
  <c r="E46" i="4"/>
  <c r="E45" i="4"/>
  <c r="E44" i="4"/>
  <c r="E40" i="4"/>
  <c r="F40" i="4" s="1"/>
  <c r="E39" i="4"/>
  <c r="F39" i="4" s="1"/>
  <c r="F34" i="4"/>
  <c r="F73" i="4" s="1"/>
  <c r="F71" i="4" l="1"/>
  <c r="E72" i="4"/>
  <c r="F72" i="4" s="1"/>
  <c r="F123" i="4"/>
  <c r="F75" i="4"/>
  <c r="F76" i="4"/>
  <c r="F41" i="4"/>
  <c r="F74" i="4"/>
  <c r="F42" i="7"/>
  <c r="F78" i="7"/>
  <c r="F51" i="4" l="1"/>
  <c r="K47" i="4"/>
  <c r="K51" i="4"/>
  <c r="K44" i="4"/>
  <c r="K46" i="4"/>
  <c r="K49" i="4"/>
  <c r="K45" i="4"/>
  <c r="K48" i="4"/>
  <c r="K50" i="4"/>
  <c r="K48" i="7"/>
  <c r="K49" i="7"/>
  <c r="K46" i="7"/>
  <c r="K47" i="7"/>
  <c r="K50" i="7"/>
  <c r="K51" i="7"/>
  <c r="K52" i="7"/>
  <c r="K45" i="7"/>
  <c r="F64" i="7"/>
  <c r="F47" i="7"/>
  <c r="F46" i="7"/>
  <c r="F49" i="7"/>
  <c r="F52" i="7"/>
  <c r="F51" i="7"/>
  <c r="F45" i="7"/>
  <c r="F48" i="7"/>
  <c r="F50" i="7"/>
  <c r="F44" i="4"/>
  <c r="F49" i="4"/>
  <c r="F46" i="4"/>
  <c r="F48" i="4"/>
  <c r="F63" i="4"/>
  <c r="F50" i="4"/>
  <c r="F45" i="4"/>
  <c r="F47" i="4"/>
  <c r="F77" i="4"/>
  <c r="F126" i="7"/>
  <c r="K52" i="4" l="1"/>
  <c r="K64" i="4" s="1"/>
  <c r="K66" i="4" s="1"/>
  <c r="K124" i="4" s="1"/>
  <c r="K53" i="7"/>
  <c r="K65" i="7" s="1"/>
  <c r="K67" i="7" s="1"/>
  <c r="K125" i="7" s="1"/>
  <c r="F52" i="4"/>
  <c r="F64" i="4" s="1"/>
  <c r="F66" i="4" s="1"/>
  <c r="F124" i="4" s="1"/>
  <c r="F125" i="4"/>
  <c r="F53" i="7"/>
  <c r="F65" i="7" s="1"/>
  <c r="F67" i="7" s="1"/>
  <c r="F85" i="4" l="1"/>
  <c r="K84" i="4"/>
  <c r="K83" i="4"/>
  <c r="F83" i="4"/>
  <c r="K86" i="4"/>
  <c r="F86" i="4"/>
  <c r="F84" i="4"/>
  <c r="F88" i="4" s="1"/>
  <c r="F95" i="4" s="1"/>
  <c r="F97" i="4" s="1"/>
  <c r="F108" i="4" s="1"/>
  <c r="K82" i="4"/>
  <c r="F87" i="4"/>
  <c r="K87" i="4"/>
  <c r="K85" i="4"/>
  <c r="F83" i="7"/>
  <c r="K84" i="7"/>
  <c r="K86" i="7"/>
  <c r="K88" i="7"/>
  <c r="K87" i="7"/>
  <c r="K85" i="7"/>
  <c r="K83" i="7"/>
  <c r="F82" i="4"/>
  <c r="F87" i="7"/>
  <c r="F84" i="7"/>
  <c r="F88" i="7"/>
  <c r="F125" i="7"/>
  <c r="F86" i="7"/>
  <c r="F85" i="7"/>
  <c r="K88" i="4" l="1"/>
  <c r="K95" i="4" s="1"/>
  <c r="K97" i="4" s="1"/>
  <c r="K126" i="4" s="1"/>
  <c r="K128" i="4" s="1"/>
  <c r="K89" i="7"/>
  <c r="K96" i="7" s="1"/>
  <c r="K98" i="7" s="1"/>
  <c r="K109" i="7" s="1"/>
  <c r="F126" i="4"/>
  <c r="F128" i="4" s="1"/>
  <c r="F89" i="7"/>
  <c r="F96" i="7" s="1"/>
  <c r="F98" i="7" s="1"/>
  <c r="F109" i="7" s="1"/>
  <c r="K108" i="4" l="1"/>
  <c r="K113" i="4" s="1"/>
  <c r="K114" i="4" s="1"/>
  <c r="K116" i="4" s="1"/>
  <c r="K119" i="4" s="1"/>
  <c r="K129" i="4" s="1"/>
  <c r="K130" i="4" s="1"/>
  <c r="K127" i="7"/>
  <c r="K129" i="7" s="1"/>
  <c r="K114" i="7"/>
  <c r="F114" i="7"/>
  <c r="F113" i="4"/>
  <c r="F127" i="7"/>
  <c r="F129" i="7" s="1"/>
  <c r="K131" i="4" l="1"/>
  <c r="B14" i="23" s="1"/>
  <c r="F14" i="23" s="1"/>
  <c r="J5" i="25"/>
  <c r="K5" i="25" s="1"/>
  <c r="K115" i="7"/>
  <c r="K117" i="7" s="1"/>
  <c r="K120" i="7" s="1"/>
  <c r="K130" i="7" s="1"/>
  <c r="K131" i="7" s="1"/>
  <c r="F115" i="7"/>
  <c r="F117" i="7" s="1"/>
  <c r="F114" i="4"/>
  <c r="F116" i="4" s="1"/>
  <c r="G14" i="23" l="1"/>
  <c r="H14" i="23"/>
  <c r="K132" i="7"/>
  <c r="B16" i="23" s="1"/>
  <c r="F16" i="23" s="1"/>
  <c r="J6" i="25"/>
  <c r="F120" i="7"/>
  <c r="F130" i="7" s="1"/>
  <c r="F131" i="7" s="1"/>
  <c r="F119" i="4"/>
  <c r="F129" i="4" s="1"/>
  <c r="F130" i="4" s="1"/>
  <c r="F131" i="4" l="1"/>
  <c r="E5" i="25"/>
  <c r="F5" i="25" s="1"/>
  <c r="I14" i="23"/>
  <c r="K6" i="25"/>
  <c r="H16" i="23"/>
  <c r="G16" i="23"/>
  <c r="E6" i="25"/>
  <c r="F6" i="25" s="1"/>
  <c r="F132" i="7"/>
  <c r="B4" i="23" s="1"/>
  <c r="F4" i="23" s="1"/>
  <c r="S11" i="3"/>
  <c r="U4" i="3" s="1"/>
  <c r="G11" i="3"/>
  <c r="I4" i="3" s="1"/>
  <c r="S11" i="2"/>
  <c r="U4" i="2" s="1"/>
  <c r="G11" i="2"/>
  <c r="I4" i="2" s="1"/>
  <c r="S11" i="1"/>
  <c r="G11" i="1"/>
  <c r="I4" i="1" s="1"/>
  <c r="U4" i="1"/>
  <c r="B2" i="23" l="1"/>
  <c r="F2" i="23" s="1"/>
  <c r="I16" i="23"/>
  <c r="I20" i="23" s="1"/>
  <c r="J15" i="25" s="1"/>
  <c r="G4" i="23"/>
  <c r="H4" i="23"/>
  <c r="G2" i="23" l="1"/>
  <c r="H2" i="23"/>
  <c r="I21" i="23"/>
  <c r="I4" i="23"/>
  <c r="K15" i="25"/>
  <c r="K16" i="25" s="1"/>
  <c r="J16" i="25"/>
  <c r="J4" i="26" s="1"/>
  <c r="I2" i="23" l="1"/>
  <c r="I8" i="23" s="1"/>
  <c r="K4" i="26"/>
  <c r="K8" i="26" s="1"/>
  <c r="J8" i="26"/>
  <c r="E15" i="25" l="1"/>
  <c r="E16" i="25" s="1"/>
  <c r="E4" i="26" s="1"/>
  <c r="I9" i="23"/>
  <c r="F15" i="25" l="1"/>
  <c r="F16" i="25" s="1"/>
  <c r="F4" i="26"/>
  <c r="F8" i="26" s="1"/>
  <c r="E8" i="26"/>
</calcChain>
</file>

<file path=xl/sharedStrings.xml><?xml version="1.0" encoding="utf-8"?>
<sst xmlns="http://schemas.openxmlformats.org/spreadsheetml/2006/main" count="6931" uniqueCount="1161">
  <si>
    <r>
      <t xml:space="preserve">Proponente: </t>
    </r>
    <r>
      <rPr>
        <b/>
        <sz val="11"/>
        <color theme="1"/>
        <rFont val="Calibri"/>
        <family val="2"/>
        <scheme val="minor"/>
      </rPr>
      <t>SUPERINTENDÊNCIAL REGIONAL DE POLÍCIA FEDERAL NO ESTADO DO MATO GROSSO</t>
    </r>
  </si>
  <si>
    <r>
      <t xml:space="preserve">Tipo de Obra: </t>
    </r>
    <r>
      <rPr>
        <b/>
        <sz val="11"/>
        <color theme="1"/>
        <rFont val="Calibri"/>
        <family val="2"/>
        <scheme val="minor"/>
      </rPr>
      <t>MANUTENÇÃO PREDIAL</t>
    </r>
  </si>
  <si>
    <r>
      <t xml:space="preserve">Desonerado: </t>
    </r>
    <r>
      <rPr>
        <b/>
        <sz val="11"/>
        <color theme="1"/>
        <rFont val="Calibri"/>
        <family val="2"/>
        <scheme val="minor"/>
      </rPr>
      <t>NÃO</t>
    </r>
  </si>
  <si>
    <r>
      <t xml:space="preserve">Desonerado: </t>
    </r>
    <r>
      <rPr>
        <b/>
        <sz val="11"/>
        <color theme="1"/>
        <rFont val="Calibri"/>
        <family val="2"/>
        <scheme val="minor"/>
      </rPr>
      <t>SIM</t>
    </r>
  </si>
  <si>
    <r>
      <t>Empreendimento:</t>
    </r>
    <r>
      <rPr>
        <b/>
        <sz val="11"/>
        <color theme="1"/>
        <rFont val="Calibri"/>
        <family val="2"/>
        <scheme val="minor"/>
      </rPr>
      <t xml:space="preserve"> MANUTENÇÃO PREDIAL DA SUPERINTENDÊNCIA REGIONAL DA POLÍCIA FEDERAL NO ESTADO DO MATO GROSSO SR/PF/MT, BEM COMO NAS SUAS UNIDADES SUBORDINADAS DPF/ROO/MT, DPF/CAE/MT, DPF/SIC/MT E DPF/BRG/MT</t>
    </r>
  </si>
  <si>
    <t>Composição do BDI sugerida</t>
  </si>
  <si>
    <t>Intervalos admissíveis sem justificativa</t>
  </si>
  <si>
    <t>Composição de BDI Adotada</t>
  </si>
  <si>
    <t>BDI PROPOSTO</t>
  </si>
  <si>
    <t>1° Quartil</t>
  </si>
  <si>
    <t>Médio</t>
  </si>
  <si>
    <t>3° Quartil</t>
  </si>
  <si>
    <t>Garantia + Seguro (G+S)</t>
  </si>
  <si>
    <t>BDI=(1+(AC+R+G+S))(1+DF)(1+L))/(1-I) - 1</t>
  </si>
  <si>
    <t>Risco (R)</t>
  </si>
  <si>
    <t>Despesas financeiras (Df)</t>
  </si>
  <si>
    <t>Limites = 20,34% a 25,00% (não desonerado)</t>
  </si>
  <si>
    <t>Administração Central (Ac)</t>
  </si>
  <si>
    <t>Observações</t>
  </si>
  <si>
    <t>Lucro (L)</t>
  </si>
  <si>
    <t>i) Composição do BDI, Intervalos admissíveis e fórmula de cálculo nos termos do Acórdão 2622/2013 do TCU. Foi considerado, por similaridade, o item construção de edifícios.</t>
  </si>
  <si>
    <t>Impostos (I)</t>
  </si>
  <si>
    <t>Não aplicável</t>
  </si>
  <si>
    <t>6.1</t>
  </si>
  <si>
    <t>PIS</t>
  </si>
  <si>
    <t>6.2</t>
  </si>
  <si>
    <t>COFINS</t>
  </si>
  <si>
    <t>6.3</t>
  </si>
  <si>
    <t>ISS</t>
  </si>
  <si>
    <t>ii) Tributos adotados = PIS+COFINS+ISS</t>
  </si>
  <si>
    <t>6.4</t>
  </si>
  <si>
    <t>CPRB - Lei 12.546/11</t>
  </si>
  <si>
    <t>ISS serviço de Manutenção predial - 5%, conforme Lei Complementar Nº 43/1997</t>
  </si>
  <si>
    <r>
      <t xml:space="preserve">Município Aplicável: </t>
    </r>
    <r>
      <rPr>
        <b/>
        <sz val="11"/>
        <color theme="1"/>
        <rFont val="Calibri"/>
        <family val="2"/>
        <scheme val="minor"/>
      </rPr>
      <t>SINOP/MT</t>
    </r>
  </si>
  <si>
    <t>ISS serviço de Manutenção predial - 5%, conforme Lei Complementar Nº 109/2014</t>
  </si>
  <si>
    <t>PLANILHA DE CUSTOS E FORMAÇÃO DE PREÇOS</t>
  </si>
  <si>
    <t>Discriminação dos Serviços (dados referentes à contratação)</t>
  </si>
  <si>
    <t xml:space="preserve">A </t>
  </si>
  <si>
    <t>Data de apresentação da proposta (dia/mês/ano)</t>
  </si>
  <si>
    <t>B</t>
  </si>
  <si>
    <t>Município/UF</t>
  </si>
  <si>
    <t>Cuiabá - MT</t>
  </si>
  <si>
    <t>C</t>
  </si>
  <si>
    <t>Ano Acordo, Convenção ou Sentença Normativa em Dissídio Coletivo</t>
  </si>
  <si>
    <t>D</t>
  </si>
  <si>
    <t>Tipo de serviço</t>
  </si>
  <si>
    <t>Continuado</t>
  </si>
  <si>
    <t>E</t>
  </si>
  <si>
    <t>Unidade de medida</t>
  </si>
  <si>
    <t>HOMEM-MÊS</t>
  </si>
  <si>
    <t>F</t>
  </si>
  <si>
    <t>Quantidade (total) a contratar (em função da unidade de medida)</t>
  </si>
  <si>
    <t>G</t>
  </si>
  <si>
    <t>Nº de meses de execução contratual</t>
  </si>
  <si>
    <t>Mão-de-obra</t>
  </si>
  <si>
    <t>Módulo de Mão-de-obra vinculada à execução contratual Unidade de medida - tipos e quantidades</t>
  </si>
  <si>
    <t>Tipo de serviço (mesmo serviço com características distintas)</t>
  </si>
  <si>
    <t>Quantidade</t>
  </si>
  <si>
    <t>Classificação Brasileira de Ocupações</t>
  </si>
  <si>
    <t>Dados complementares para composição dos custos referente à mão-de-obra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</si>
  <si>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</si>
  <si>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</si>
  <si>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</si>
  <si>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</si>
  <si>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</si>
  <si>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</si>
  <si>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A</t>
  </si>
  <si>
    <t>Salário Base (Quantidade horas mensais)</t>
  </si>
  <si>
    <t>Adicional de periculosidade</t>
  </si>
  <si>
    <t>Adicional de insalubridade</t>
  </si>
  <si>
    <t>Adicional Noturno</t>
  </si>
  <si>
    <t>Adicional Hora Noturna Reduzida</t>
  </si>
  <si>
    <t>Outros</t>
  </si>
  <si>
    <t>Total da Remuneração</t>
  </si>
  <si>
    <t>MÓDULO 2: ENCARGOS E BENEFÍCIOS ANUAIS, MENSAIS E DIÁRIOS</t>
  </si>
  <si>
    <t xml:space="preserve">2.1 </t>
  </si>
  <si>
    <t>13º (décimo terceiro) Salário, Férias e Adicional de Férias</t>
  </si>
  <si>
    <t>%</t>
  </si>
  <si>
    <t>13º (décimo terceiro) Salário</t>
  </si>
  <si>
    <t>Férias e Adicional de Férias</t>
  </si>
  <si>
    <t>Total</t>
  </si>
  <si>
    <t>2.2</t>
  </si>
  <si>
    <t>GPS, FGTS e outras contribuições</t>
  </si>
  <si>
    <t>INSS</t>
  </si>
  <si>
    <t>Salário Educação</t>
  </si>
  <si>
    <t>SAT</t>
  </si>
  <si>
    <t>SESC ou SESI</t>
  </si>
  <si>
    <t>SENAI - SENAC</t>
  </si>
  <si>
    <t>SEBRAE</t>
  </si>
  <si>
    <t>INCRA</t>
  </si>
  <si>
    <t>H</t>
  </si>
  <si>
    <t>FGTS</t>
  </si>
  <si>
    <t xml:space="preserve">2.3 </t>
  </si>
  <si>
    <t>Benefícios Mensais e Diários</t>
  </si>
  <si>
    <t>Valor unitário</t>
  </si>
  <si>
    <t>Transporte</t>
  </si>
  <si>
    <t>Auxílio-Refeição/Alimentação</t>
  </si>
  <si>
    <t xml:space="preserve">Outros </t>
  </si>
  <si>
    <t>Total de Encargos e Benefícios</t>
  </si>
  <si>
    <t>Quadro-Resumo - Módulo 2 - Encargos e Benefícios Anuais, Mensais e Diários</t>
  </si>
  <si>
    <t>2.1</t>
  </si>
  <si>
    <t>2.3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</si>
  <si>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</si>
  <si>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</si>
  <si>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</si>
  <si>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</si>
  <si>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</si>
  <si>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</si>
  <si>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</si>
  <si>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</si>
  <si>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Total de Provisão para Rescisão</t>
  </si>
  <si>
    <t>MÓDULO 4 - CUSTO DE REPOSIÇÃO DO PROFISSIONAL AUSENTE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</si>
  <si>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</si>
  <si>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</si>
  <si>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</si>
  <si>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</si>
  <si>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</si>
  <si>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</si>
  <si>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</si>
  <si>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 xml:space="preserve">Substituto na cobertura de Outras Ausências </t>
  </si>
  <si>
    <t>4.2</t>
  </si>
  <si>
    <t>Substituto na Intrajornada</t>
  </si>
  <si>
    <t>Substituto na cobertura de Intervalo para repouso ou alimentação</t>
  </si>
  <si>
    <t>Quadro-Resumo - Módulo 4 - Custo de Reposição do Profissional Ausente</t>
  </si>
  <si>
    <t>Total de Custo de Reposição do Profissional Ausente</t>
  </si>
  <si>
    <t>MÓDULO 5 - INSUMOS DIVERSOS</t>
  </si>
  <si>
    <t>Insumos Diversos</t>
  </si>
  <si>
    <t>Uniformes</t>
  </si>
  <si>
    <t>EPI</t>
  </si>
  <si>
    <t>Ferramentas</t>
  </si>
  <si>
    <t>Outros (especificar)</t>
  </si>
  <si>
    <t>Total de Insumos Diversos</t>
  </si>
  <si>
    <t>TOTAL PARCIAL: MÓDULO 1 + 2 + 3 + 4+ 5</t>
  </si>
  <si>
    <t xml:space="preserve">MÓDULO 6 - CUSTOS DIRETOS, TRIBUTOS E LUCRO </t>
  </si>
  <si>
    <t>Custos Indiretos, Tributos e Lucro</t>
  </si>
  <si>
    <t>Custos Indiretos</t>
  </si>
  <si>
    <t>Lucro</t>
  </si>
  <si>
    <t>Tributos</t>
  </si>
  <si>
    <t>C.1</t>
  </si>
  <si>
    <t>C.2</t>
  </si>
  <si>
    <t>C.3</t>
  </si>
  <si>
    <t>TOTAL</t>
  </si>
  <si>
    <t>QUADRO-RESUMO DO CUSTO MENSAL POR EMPREGADO</t>
  </si>
  <si>
    <t xml:space="preserve">Mão de obra vinculada à execução contratual 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</si>
  <si>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</si>
  <si>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</si>
  <si>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</si>
  <si>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</si>
  <si>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</si>
  <si>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</si>
  <si>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 xml:space="preserve">F </t>
  </si>
  <si>
    <t>Módulo 6 – Custos Indiretos, Tributos e Lucro</t>
  </si>
  <si>
    <t>Valor Total Mensal por Empregado</t>
  </si>
  <si>
    <t>ANEXO H - ENGENHEIROS</t>
  </si>
  <si>
    <t>SEEAC/MT</t>
  </si>
  <si>
    <r>
      <t>ANEXO H</t>
    </r>
    <r>
      <rPr>
        <b/>
        <sz val="10"/>
        <color theme="1"/>
        <rFont val="Times New Roman"/>
        <family val="1"/>
      </rPr>
      <t xml:space="preserve"> - Engenheiros</t>
    </r>
  </si>
  <si>
    <t>CBO 214205; 2143-05; 2144-05</t>
  </si>
  <si>
    <t>horas</t>
  </si>
  <si>
    <t>Engenheiros</t>
  </si>
  <si>
    <t>PRÊMIO ASSIDUIDADE</t>
  </si>
  <si>
    <t>PCMSO</t>
  </si>
  <si>
    <t>OFICIAL DE MANUTENÇÃO PREDIAL</t>
  </si>
  <si>
    <t>COTAÇÃO 01</t>
  </si>
  <si>
    <t>COTAÇÃO 02</t>
  </si>
  <si>
    <t>COTAÇÃO 03</t>
  </si>
  <si>
    <t>ITEM</t>
  </si>
  <si>
    <t>UNIFORMES</t>
  </si>
  <si>
    <t>QTD</t>
  </si>
  <si>
    <t>UNITÁRIO</t>
  </si>
  <si>
    <t>PREÇO</t>
  </si>
  <si>
    <t>MÉDIA</t>
  </si>
  <si>
    <t>Par de meias esportiva algoção &gt; 65%</t>
  </si>
  <si>
    <t>Bota de segurança com biqueira de aço e colarinho acolchoado (SINAPI 12893)</t>
  </si>
  <si>
    <t>Calça jeans, com botões, silk no verso</t>
  </si>
  <si>
    <t>Camiseta malha 100% algodão, gola careca, manga curta, silk costas/frente</t>
  </si>
  <si>
    <t>Guarda pó manga curta, em brim com bolsos, de botão, silk nas costas e bolso</t>
  </si>
  <si>
    <t>TOTAL ANUAL</t>
  </si>
  <si>
    <t>MENSAL</t>
  </si>
  <si>
    <t>EMPRESA</t>
  </si>
  <si>
    <t>ROSILENE F SOUSA COMERCIO LTDA</t>
  </si>
  <si>
    <t>BOSCO DISTRIBUICAO E SERVICOS LTDA</t>
  </si>
  <si>
    <t>CAMPO ATACADO E VAREJO ESPORTIVO LTDA</t>
  </si>
  <si>
    <t>LUIZ MAURO FERREIRA</t>
  </si>
  <si>
    <t>SUPERMERCADO COSTA LTDA</t>
  </si>
  <si>
    <t xml:space="preserve">A.C. COMERCIO DE PAPEIS E SERVICOS DE TRANSPORTES EIRELI </t>
  </si>
  <si>
    <t>ROGERIO APARECIDO DOS REIS CONFECCOES</t>
  </si>
  <si>
    <t>48.595.420 JEOVA ARAUJO CARDOSO</t>
  </si>
  <si>
    <t xml:space="preserve">AFA INDUSTRIA COMERCIO E SERVICOS LTDA </t>
  </si>
  <si>
    <t>33.026.034 DIEGO SAGGIN</t>
  </si>
  <si>
    <t>OHANA CONFECCOES LTDA</t>
  </si>
  <si>
    <t>UNIFORMES LIDER LTDA</t>
  </si>
  <si>
    <t>CONFECCOES JUNGHAUS LTDA</t>
  </si>
  <si>
    <t>DB CONFECCAO DE ROUPAS PROFISSIONAIS LTDA</t>
  </si>
  <si>
    <t>ANEXO H - OFICIAL DE MANUTENÇÃO - CUIABÁ</t>
  </si>
  <si>
    <t>OFICAL DE MANUTENÇÃO PREDIAL</t>
  </si>
  <si>
    <t>ANEXO H - OFICIAL DE MANUTENÇÃO</t>
  </si>
  <si>
    <t>CBO 5143-25</t>
  </si>
  <si>
    <t>Transporte - R$ 4,95</t>
  </si>
  <si>
    <t>Aviso Prévio Trabalhado (Acórdão nº 1586/2018)</t>
  </si>
  <si>
    <t>Lei N° 4.950-A, de 22 de abril de 1966.</t>
  </si>
  <si>
    <t>ENGENHEIRO</t>
  </si>
  <si>
    <t>API = (1/12) X 0,05 X 100 = 0,42%</t>
  </si>
  <si>
    <t>40%*8%*Ocorrência (5%)</t>
  </si>
  <si>
    <t>% APT = (7/30) ÷12 × 100 ∴ % APT ≅ 1,94%</t>
  </si>
  <si>
    <t>40%*8%*Ocorrência (95%)</t>
  </si>
  <si>
    <t>PIS - 0,65%</t>
  </si>
  <si>
    <t>COFINS - 3,00%</t>
  </si>
  <si>
    <t>ISS - 5,00%</t>
  </si>
  <si>
    <t>ANEXO H - OFICIAL DE MANUTENÇÃO - BARRA DO GARÇAS</t>
  </si>
  <si>
    <t>Transporte - R$ 6,00</t>
  </si>
  <si>
    <t>ANEXO H - OFICIAL DE MANUTENÇÃO - CÁCERES</t>
  </si>
  <si>
    <t>ANEXO H - OFICIAL DE MANUTENÇÃO - RONDONÓPOLIS</t>
  </si>
  <si>
    <t>Rondonópolis - MT</t>
  </si>
  <si>
    <t>Barra do Garças - MT</t>
  </si>
  <si>
    <t>ANEXO H - OFICIAL DE MANUTENÇÃO - SINOP</t>
  </si>
  <si>
    <t>Sinop - MT</t>
  </si>
  <si>
    <t>ISS - 4,00%</t>
  </si>
  <si>
    <t>ANEXO H - TÉCNICO EM ELETROTÉCNICA</t>
  </si>
  <si>
    <t>POSTO</t>
  </si>
  <si>
    <t>Salário Normativo da Categoria Profissional (CCT/2024-SEEAC/MT - FAIXA ESPECIAL VIII)</t>
  </si>
  <si>
    <t xml:space="preserve"> Gratificação por Assiduidade</t>
  </si>
  <si>
    <t>ANEXO H - ELETRICISTA</t>
  </si>
  <si>
    <t>ELETRICISTA</t>
  </si>
  <si>
    <t>CBO 9511-05</t>
  </si>
  <si>
    <t>ANEXO H - AUXILIAR DE MANUTENÇÃO PREDIAL</t>
  </si>
  <si>
    <t>AUXILIAR DE MANUTENÇÃO</t>
  </si>
  <si>
    <t xml:space="preserve">Adicional de periculosidade </t>
  </si>
  <si>
    <t xml:space="preserve"> Gratificação por  Assiduideda</t>
  </si>
  <si>
    <t>ANEXO H - MECÂNICO DE REFRIGERAÇÃO</t>
  </si>
  <si>
    <t>MECÂNICO DE REFRIGERAÇÃO</t>
  </si>
  <si>
    <t>CBO 7257-05</t>
  </si>
  <si>
    <t xml:space="preserve"> ANEXO V - MATERIAIS E INSUMOS</t>
  </si>
  <si>
    <t>A - MATERIAIS DE CONSTRUÇÃO CIVIL</t>
  </si>
  <si>
    <t>Item</t>
  </si>
  <si>
    <t>REF. ESPEC.</t>
  </si>
  <si>
    <t>Código</t>
  </si>
  <si>
    <t>Material</t>
  </si>
  <si>
    <t>Un.</t>
  </si>
  <si>
    <t>QTD  (ANUAL)</t>
  </si>
  <si>
    <t>Valor Unitário de Referência</t>
  </si>
  <si>
    <t>Valor Total de Referência</t>
  </si>
  <si>
    <t>SINAPI 08/2024 CUIABÁ MT</t>
  </si>
  <si>
    <t>ADESIVO ESTRUTURAL A BASE DE RESINA EPOXI PARA INJEÇÃO EM TRINCAS, BICOMPONENTE, BAIXA VISCOSIDADE</t>
  </si>
  <si>
    <t>KG</t>
  </si>
  <si>
    <t>SOLVENTE DILUENTE A BASE DE AGUARRAS</t>
  </si>
  <si>
    <t>L</t>
  </si>
  <si>
    <t>ACABAMENTO SIMPLES/CONVENCIONAL PARA FORRO PVC, TIPO "U" OU "C", COR BRANCA, COMPRIMENTO 6 M</t>
  </si>
  <si>
    <t>M</t>
  </si>
  <si>
    <t xml:space="preserve">00000003	</t>
  </si>
  <si>
    <t>ACIDO MURIATICO, DILUICAO 10% A 12% PARA USO EM LIMPEZA</t>
  </si>
  <si>
    <t>AREIA FINA - POSTO JAZIDA/FORNECEDOR (RETIRADO NA JAZIDA, SEM TRANSPORTE)</t>
  </si>
  <si>
    <t>M³</t>
  </si>
  <si>
    <t>AREIA MEDIA - POSTO JAZIDA/FORNECEDOR (RETIRADO NA JAZIDA, SEM TRANSPORTE)</t>
  </si>
  <si>
    <t>ARGAMASSA COLANTE AC I PARA CERAMICAS</t>
  </si>
  <si>
    <t>ARGAMASSA COLANTE AC-II</t>
  </si>
  <si>
    <t>ARGAMASSA COLANTE TIPO ACIII</t>
  </si>
  <si>
    <t>ARGAMASSA COLANTE TIPO ACIII E</t>
  </si>
  <si>
    <t>ARGAMASSA PRONTA PARA CONTRAPISO</t>
  </si>
  <si>
    <t>ACO CA-25, 10,0 MM, OU 12,5 MM, OU 16,0 MM, OU 20,0 MM, OU 25,0 MM, VERGALHAO</t>
  </si>
  <si>
    <t>00000034</t>
  </si>
  <si>
    <t>ACO CA-50, 10,0 MM, VERGALHAO</t>
  </si>
  <si>
    <t>ACO CA-50, 12,5 MM OU 16,0 MM, VERGALHAO</t>
  </si>
  <si>
    <t>ACO CA-50, 20,0 MM OU 25,0 MM, VERGALHAO</t>
  </si>
  <si>
    <t xml:space="preserve">	ACO CA-50, 32,0 MM, VERGALHAO</t>
  </si>
  <si>
    <t>ADITIVO ADESIVO LIQUIDO PARA ARGAMASSAS DE REVESTIMENTOS CIMENTICIOS</t>
  </si>
  <si>
    <t>ADITIVO IMPERMEABILIZANTE DE PEGA ULTRA RÁPIDA</t>
  </si>
  <si>
    <t>ADITIVO IMPERMEABILIZANTE DE PEGA NORMAL PARA ARGAMASSAS E CONCRETOS SEM ARMACAO, LIQUIDO E ISENTO DE CLORETOS</t>
  </si>
  <si>
    <t>ADITIVO PLASTIFICANTE E ESTABILIZADOR PARA ARGAMASSAS DE ASSENTAMENTO E REBOCO, LIQUIDO E ISENTO DE CLORETOS</t>
  </si>
  <si>
    <t>ARAME GALVANIZADO 12 BWG, D = 2,76 MM (0,048 KG/M) OU 14 BWG, D = 2,11 MM (0,026 KG/M)</t>
  </si>
  <si>
    <t xml:space="preserve">ARAME GALVANIZADO 16 BWG, D = 1,65MM (0,0166 KG/M)	</t>
  </si>
  <si>
    <t>ARAME GALVANIZADO 18 BWG, D = 1,24MM (0,009 KG/M)</t>
  </si>
  <si>
    <t>ARAME GALVANIZADO 6 BWG, D = 5,16 MM (0,157 KG/M), OU 8 BWG, D = 4,19 MM (0,101 KG/M), OU 10 BWG, D = 3,40 MM (0,0713 KG/M)</t>
  </si>
  <si>
    <t>ARAME RECOZIDO 16 BWG, D = 1,65 MM (0,016 KG/M) OU 18 BWG, D = 1,25 MM (0,01 KG/M)</t>
  </si>
  <si>
    <t>BANCADA/ BANCA EM GRANITO, POLIDO, TIPO ANDORINHA/ QUARTZ/ CASTELO/ CORUMBA OU OUTROS EQUIVALENTES DA REGIAO, COM CUBA INOX, FORMATO *120 X 60* CM, E= *2* CM</t>
  </si>
  <si>
    <t>UN</t>
  </si>
  <si>
    <t>BLOQUETE/PISO INTERTRAVADO DE CONCRETO - MODELO ONDA/16 FACES/RETANGULAR/TIJOLINHO/PAVER/HOLANDES/PARALELEPIPEDO, 20 CM X 10 CM, E = 10 CM, RESISTENCIA DE 35 MPA (NBR 9781), COR NATURAL</t>
  </si>
  <si>
    <t>M²</t>
  </si>
  <si>
    <t>BLOQUETE/PISO INTERTRAVADO DE CONCRETO - MODELO SEXTAVADO / HEXAGONAL, 25 CM X 25 CM, E = 6 CM, RESISTENCIA DE 35 MPA (NBR 9781), COR NATURAL.</t>
  </si>
  <si>
    <t>SILICONE ACETICO USO GERAL INCOLOR 280 G</t>
  </si>
  <si>
    <t>BLOCO CERAMICO (ALVENARIA DE VEDACAO), 8 FUROS, DE 9 X 19 X 19 CM</t>
  </si>
  <si>
    <t>BLOCO CERAMICO / TIJOLO VAZADO PARA ALVENARIA DE VEDACAO, 6 FUROS NA HORIZONTAL, 9 X 14 X 19 CM (L X A X C)</t>
  </si>
  <si>
    <t>BLOCO CERAMICO (ALVENARIA DE VEDACAO), 8 FUROS, DE 9 X 19 X 29 CM</t>
  </si>
  <si>
    <t>BLOCO DE CONCRETO ESTRUTURAL 14 X 19 X 39 CM, FBK 14 MPA (NBR 6136)</t>
  </si>
  <si>
    <t>BATENTE/ PORTAL/ADUELA/ MARCO MACICO, E= *3* CM, L= *15* CM, *60 CM A 120* CM X *210* CM, EM CEDRINHO/ ANGELIM COMERCIAL/ EUCALIPTO/ CURUPIXA/ PEROBA/ CUMARU OU EQUIVALENTE DA REGIAO (NAO INCLUI ALIZARES)</t>
  </si>
  <si>
    <t>JG</t>
  </si>
  <si>
    <t>BUCHA DE NYLON SEM ABA S10</t>
  </si>
  <si>
    <t xml:space="preserve">UN    </t>
  </si>
  <si>
    <t>BUCHA DE NYLON SEM ABA S10, COM PARAFUSO DE 6,10 X 65 MM EM ACO ZINCADO COM ROSCA SOBERBA, CABECA CHATA E FENDA PHILLIPS</t>
  </si>
  <si>
    <t>BUCHA DE NYLON SEM ABA S12, COM PARAFUSO DE 5/16" X 80 MM EM ACO ZINCADO COM ROSCA SOBERBA E CABECA SEXTAVADA</t>
  </si>
  <si>
    <t>BUCHA DE NYLON SEM ABA S4</t>
  </si>
  <si>
    <t>BUCHA DE NYLON SEM ABA S5</t>
  </si>
  <si>
    <t>BUCHA DE NYLON SEM ABA S6</t>
  </si>
  <si>
    <t>BUCHA DE NYLON SEM ABA S6, COM PARAFUSO DE 4,20 X 40 MM EM ACO ZINCADO COM ROSCA SOBERBA, CABECA CHATA E FENDA PHILLIPS</t>
  </si>
  <si>
    <t>BUCHA DE NYLON SEM ABA S8</t>
  </si>
  <si>
    <t>BUCHA DE NYLON SEM ABA S8, COM PARAFUSO DE 4,80 X 50 MM EM ACO ZINCADO COM ROSCA SOBERBA, CABECA CHATA E FENDA PHILLIPS</t>
  </si>
  <si>
    <t>BUCHA DE NYLON, DIAMETRO DO FURO 8 MM, COMPRIMENTO 40 MM, COM PARAFUSO DE ROSCA SOBERBA, CABECA CHATA, FENDA SIMPLES, 4,8 X 50 MM</t>
  </si>
  <si>
    <t>CADEADO SIMPLES/COMUM, EM LATAO MACICO CROMADO, LARGURA DE 25 MM, HASTE DE ACO TEMPERADO, CEMENTADO (NAO LONGA), INCLUI 2 CHAVES</t>
  </si>
  <si>
    <t>CADEADO SIMPLES, EM LATAO MACICO CROMADO, LARGURA DE 35 MM, HASTE DE ACO TEMPERADO, CEMENTADO (NAO LONGA), INCLUI 2 CHAVES</t>
  </si>
  <si>
    <t>CADEADO SIMPLES, CORPO EM LATAO MACICO, COM LARGURA DE 50 MM E ALTURA DE APROX 40 MM, HASTE CEMENTADA EM ACO TEMPERADO COM DIAMETRO DE APROX 8,0 MM, INCLUINDO 2 CHAVES</t>
  </si>
  <si>
    <t>CAIBRO NAO APARELHADO *7,5 X 7,5* CM, EM MACARANDUBA, ANGELIM OU EQUIVALENTE DA REGIAO - BRUTA</t>
  </si>
  <si>
    <t>CAIBRO NAO APARELHADO *5 X 6* CM, EM MACARANDUBA, ANGELIM OU EQUIVALENTE DA REGIAO - BRUTA</t>
  </si>
  <si>
    <t>CAIBRO NAO APARELHADO, *6 X 8* CM, EM MACARANDUBA, ANGELIM OU EQUIVALENTE DA REGIAO - BRUTA</t>
  </si>
  <si>
    <t>CAL HIDRATADA PARA PINTURA</t>
  </si>
  <si>
    <t xml:space="preserve">KG    </t>
  </si>
  <si>
    <t>CAL VIRGEM COMUM PARA ARGAMASSAS (NBR 6453)</t>
  </si>
  <si>
    <t>PRENDEDOR / TRAVA DE PORTA, MONTAGEM PISO / PORTA, EM LATAO / ZAMAC, CROMADO</t>
  </si>
  <si>
    <t>CALHA MOLDURA AMERICANA DE CHAPA DE ACO GALVANIZADA NUM 26, CORTE 33 CM</t>
  </si>
  <si>
    <t>CALHA PARA AGUA FURTADA DE CHAPA DE ACO GALVANIZADA NUM 26, CORTE 40 CM</t>
  </si>
  <si>
    <t>CALHA PARA AGUA FURTADA DE CHAPA DE ACO GALVANIZADA NUM 26, CORTE 50 CM</t>
  </si>
  <si>
    <t>PERFIL U / CANALETA DE ALUMINIO, DE ABAS IGUAIS, 1/2" (1,27 X 1,27 CM), PARA PORTA OU JANELA DE CORRER</t>
  </si>
  <si>
    <t>PISO EM CERAMICA ESMALTADA EXTRA, PEI MAIOR OU IGUAL A 4, FORMATO MENOR OU IGUAL A 2025 CM2</t>
  </si>
  <si>
    <t xml:space="preserve">CHAPA DE MDF BRANCO LISO 2 FACES, E = 15 MM, DE *2,75 X 1,85* M	</t>
  </si>
  <si>
    <t xml:space="preserve">	CHAPA DE MDF BRANCO LISO 2 FACES, E = 18 MM, DE *2,75 X 1,85* M</t>
  </si>
  <si>
    <t>CIMENTO BRANCO</t>
  </si>
  <si>
    <t>CIMENTO PORTLAND COMPOSTO CP II-32</t>
  </si>
  <si>
    <t>CIMENTO PORTLAND ESTRUTURAL BRANCO CPB-32</t>
  </si>
  <si>
    <t>COLA A BASE DE RESINA SINTETICA PARA CHAPA DE LAMINADO MELAMINICO</t>
  </si>
  <si>
    <t>COLA BRANCA BASE PVA</t>
  </si>
  <si>
    <t xml:space="preserve">	ADESIVO ACRILICO/COLA DE CONTATO</t>
  </si>
  <si>
    <t>CHAPA DE GESSO ACARTONADO, STANDARD (ST), COR BRANCA, E = 12,5 MM, 1200 X 2400 MM (L X C)</t>
  </si>
  <si>
    <t>DOBRADICA EM ACO/FERRO, 3 1/2" X  3", E= 1,9  A 2 MM, COM ANEL,  CROMADO OU ZINCADO, TAMPA BOLA, COM PARAFUSOS</t>
  </si>
  <si>
    <t>DOBRADICA EM ACO/FERRO, 3" X 2 1/2", E= 1,2 A 1,8 MM, SEM ANEL,  CROMADO OU ZINCADO, TAMPA CHATA, COM PARAFUSOS</t>
  </si>
  <si>
    <t>DOBRADICA EM ACO/FERRO, 3" X 2 1/2", E= 1,9 A 2 MM, SEM ANEL,  CROMADO OU ZINCADO, TAMPA BOLA, COM PARAFUSOS</t>
  </si>
  <si>
    <t>DOBRADICA EM LATAO, 3 " X 2 1/2 ", E= 1,9 A 2 MM, COM ANEL, CROMADO, TAMPA BOLA, COM PARAFUSOS</t>
  </si>
  <si>
    <t>DOBRADICA TIPO VAI-E-VEM EM ACO/FERRO, TAMANHO 3'', GALVANIZADO, COM PARAFUSOS</t>
  </si>
  <si>
    <t>ELETRODO REVESTIDO AWS - E6013, DIAMETRO IGUAL A 2,50 MM</t>
  </si>
  <si>
    <t>ELETRODO REVESTIDO AWS - E-6010, DIAMETRO IGUAL A 4,00 MM</t>
  </si>
  <si>
    <t>ESCOVA CIRCULAR EM ACO LATONADO, 6 X 1 " (DIAMETRO X ESPESSURA), FURO DE 1 1/4 ", FIO ONDULADO *0,30* MM</t>
  </si>
  <si>
    <t>0000012</t>
  </si>
  <si>
    <t xml:space="preserve">	ESCOVA DE ACO, COM CABO, *4 X 15* FILEIRAS DE CERDAS</t>
  </si>
  <si>
    <t xml:space="preserve">	ESPELHO CRISTAL E = 4 MM</t>
  </si>
  <si>
    <t>M2</t>
  </si>
  <si>
    <t>0000013</t>
  </si>
  <si>
    <t>ESTOPA</t>
  </si>
  <si>
    <t>3097</t>
  </si>
  <si>
    <t>FECHADURA DE EMBUTIR PARA PORTA DE BANHEIRO, TIPO TRANQUETA, MAQUINA 40 MM, MACANETAS ALAVANCA E ROSETAS REDONDAS EM METAL CROMADO - NIVEL SEGURANCA MEDIO - COMPLETA</t>
  </si>
  <si>
    <t>CJ</t>
  </si>
  <si>
    <t>3081</t>
  </si>
  <si>
    <t>FECHADURA DE EMBUTIR PARA PORTA EXTERNA / ENTRADA, MAQUINA 55 MM, COM CILINDRO, MACANETA ALAVANCA E ESPELHO EM METAL CROMADO - NIVEL SEGURANCA MEDIO - COMPLETA</t>
  </si>
  <si>
    <t>3090</t>
  </si>
  <si>
    <t>FECHADURA ESPELHO PARA PORTA INTERNA, EM ACO INOX (MAQUINA, TESTA E CONTRA-TESTA) E EM ZAMAC (MACANETA, LINGUETA E TRINCOS) COM ACABAMENTO CROMADO, MAQUINA DE 40 MM, INCLUINDO CHAVE TIPO INTERNA</t>
  </si>
  <si>
    <t>FITA CREPE ROLO DE 25 MM X 50 M</t>
  </si>
  <si>
    <t>FITA METALICA PERFURADA, L = *18* MM, ROLO DE 30 M, CARGA RECOMENDADA = *30* KGF</t>
  </si>
  <si>
    <t>FORRO DE FIBRA MINERAL EM PLACAS DE 1250 X 625 MM, E = 15 MM, BORDA RETA, COM PINTURA ANTIMOFO, APOIADO EM PERFIL DE ACO GALVANIZADO COM 24 MM DE BASE</t>
  </si>
  <si>
    <t>FORRO DE FIBRA MINERAL EM PLACAS DE 625 X 625 MM, E = 15 MM, BORDA RETA, COM PINTURA ANTIMOFO, APOIADO EM PERFIL DE ACO GALVANIZADO COM 24 MM DE BASE</t>
  </si>
  <si>
    <t>FORRO DE FIBRA MINERAL EM PLACAS DE 625 X 625 MM, E = 15/16 MM, BORDA REBAIXADA, COM PINTURA ANTIMOFO, APOIADO EM PERFIL DE ACO GALVANIZADO COM 24 MM DE BASE</t>
  </si>
  <si>
    <t>FUNDO ANTICORROSIVO PARA METAIS FERROSOS (ZARCAO)</t>
  </si>
  <si>
    <t xml:space="preserve">L     </t>
  </si>
  <si>
    <t xml:space="preserve">	FUNDO PREPARADOR ACRILICO BASE AGUA</t>
  </si>
  <si>
    <t xml:space="preserve">FUNDO SINTETICO NIVELADOR BRANCO FOSCO PARA MADEIRA	</t>
  </si>
  <si>
    <t>GESSO EM PO PARA REVESTIMENTOS/MOLDURAS/SANCAS</t>
  </si>
  <si>
    <t>GRANITO PARA BANCADA, POLIDO, TIPO ANDORINHA/ QUARTZ/ CASTELO/ CORUMBA OU OUTROS EQUIVALENTES DA REGIAO, E= *2,5* CM</t>
  </si>
  <si>
    <t>GRAXA LUBRIFICANTE</t>
  </si>
  <si>
    <t>IMPERMEABILIZANTE FLEXIVEL BRANCO DE BASE ACRILICA PARA COBERTURAS</t>
  </si>
  <si>
    <t>IMPERMEABILIZANTE INCOLOR PARA TRATAMENTO DE FACHADAS E TELHAS, BASE SILICONE</t>
  </si>
  <si>
    <t xml:space="preserve">	JUNTA PLASTICA DE DILATACAO PARA PISOS, COR CINZA, 10 X 4,5 MM (ALTURA X ESPESSURA)</t>
  </si>
  <si>
    <t>JUNTA PLASTICA DE DILATACAO PARA PISOS, COR CINZA, 17 X 3 MM (ALTURA X ESPESSURA)</t>
  </si>
  <si>
    <t xml:space="preserve">	JUNTA PLASTICA DE DILATACAO PARA PISOS, COR CINZA, 27 X 3 MM (ALTURA X ESPESSURA)</t>
  </si>
  <si>
    <t>LIXA D'AGUA EM FOLHA, GRAO 100</t>
  </si>
  <si>
    <t>LIXA EM FOLHA PARA FERRO, NUMERO 150</t>
  </si>
  <si>
    <t>LIXA EM FOLHA PARA PAREDE OU MADEIRA, NUMERO 120 (COR VERMELHA)</t>
  </si>
  <si>
    <t>KIT PORTA PRONTA DE MADEIRA, FOLHA MEDIA (NBR 15930) DE 900 X 2100 MM, DE 35 MM A 40 MM DE ESPESSURA, NUCLEO SEMI-SOLIDO (SARRAFEADO), ESTRUTURA USINADA PARA FECHADURA, CAPA LISA EM HDF, ACABAMENTO EM PRIMER PARA PINTURA (INCLUI MARCO, ALIZARES E DOBRADICAS)</t>
  </si>
  <si>
    <t xml:space="preserve">	LONA PLASTICA PRETA, E= 150 MICRA</t>
  </si>
  <si>
    <t xml:space="preserve">MANTA ALUMINIZADA 1 FACE PARA SUBCOBERTURA, E = *1* MM	</t>
  </si>
  <si>
    <t xml:space="preserve">	MASSA ACRILICA PARA PAREDES INTERIOR/EXTERIOR</t>
  </si>
  <si>
    <t>MASSA CORRIDA PARA SUPERFICIES DE AMBIENTES INTERNOS</t>
  </si>
  <si>
    <t>MASSA PLASTICA PARA MARMORE/GRANITO</t>
  </si>
  <si>
    <t>MASSA EPOXI BICOMPONENTE PARA REPAROS</t>
  </si>
  <si>
    <t>MASSA PARA TEXTURA LISA DE BASE ACRILICA, USO INTERNO E EXTERNO</t>
  </si>
  <si>
    <t>MASSA PARA TEXTURA RUSTICA DE BASE ACRILICA, COR BRANCA, USO INTERNO E EXTERNO</t>
  </si>
  <si>
    <t>MASSA PARA VIDRO</t>
  </si>
  <si>
    <t>MOLA AEREA FECHA PORTA, PARA PORTAS COM LARGURA ATE 110 CM</t>
  </si>
  <si>
    <t>MOLA AEREA FECHA PORTA, PARA PORTAS COM LARGURA ATE 95 CM</t>
  </si>
  <si>
    <t xml:space="preserve">	PARAFUSO DE ACO TIPO CHUMBADOR PARABOLT, DIAMETRO 1/2", COMPRIMENTO 75 MM</t>
  </si>
  <si>
    <t>PARAFUSO DE ACO TIPO CHUMBADOR PARABOLT, DIAMETRO 3/8", COMPRIMENTO 75 MM</t>
  </si>
  <si>
    <t xml:space="preserve">	PARAFUSO ZINCADO, SEXTAVADO, COM ROSCA SOBERBA, DIAMETRO 3/8", COMPRIMENTO 80 MM</t>
  </si>
  <si>
    <t>PARAFUSO ZINCADO, SEXTAVADO, COM ROSCA SOBERBA, DIAMETRO 5/16", COMPRIMENTO 80 MM</t>
  </si>
  <si>
    <t xml:space="preserve">	PARAFUSO DE ACO ZINCADO COM ROSCA SOBERBA, CABECA CHATA E FENDA SIMPLES, DIAMETRO 4,2 MM, COMPRIMENTO * 32 * MM</t>
  </si>
  <si>
    <t>PARAFUSO ZINCADO, SEXTAVADO, COM ROSCA INTEIRA, DIAMETRO 1/4", COMPRIMENTO 1/2"</t>
  </si>
  <si>
    <t xml:space="preserve">	PEDRA BRITADA N. 0, OU PEDRISCO (4,8 A 9,5 MM) POSTO PEDREIRA/FORNECEDOR, SEM FRETE</t>
  </si>
  <si>
    <t>PEDRA BRITADA N. 1 (9,5 a 19 MM) POSTO PEDREIRA/FORNECEDOR, SEM FRETE</t>
  </si>
  <si>
    <t>M3</t>
  </si>
  <si>
    <t>PEITORIL/ SOLEIRA EM MARMORE, POLIDO, BRANCO COMUM, L= *25* CM, E= *3* CM, CORTE RETO</t>
  </si>
  <si>
    <t>PISO EM GRANILITE, MARMORITE OU GRANITINA, AGREGADO COR PRETO, CINZA, PALHA OU BRANCO</t>
  </si>
  <si>
    <t>m²</t>
  </si>
  <si>
    <t>PISO EM GRANITO, POLIDO, TIPO ANDORINHA/ QUARTZ/ CASTELO/ CORUMBA OU OUTROS EQUIVALENTES DA REGIAO, FORMATO MENOR OU IGUAL A 3025 CM2, E= *2* CM</t>
  </si>
  <si>
    <t>PISO PORCELANATO, BORDA RETA, EXTRA, FORMATO MAIOR QUE 2025 CM2</t>
  </si>
  <si>
    <t>POLIETILENO E OUTROS) ( DE *400* G)PASTA LUBRIFICANTE PARA TUBOS E CONEXOES COM JUNTA ELASTICA (USO EM PVC, ACO,</t>
  </si>
  <si>
    <t>PREGO DE ACO POLIDO COM CABECA 10 X 10 (7/8 X 17)</t>
  </si>
  <si>
    <t>PREGO DE ACO POLIDO COM CABECA 10 X 11 (1 X 17)</t>
  </si>
  <si>
    <t>PREGO DE ACO POLIDO COM CABECA 12 X 12</t>
  </si>
  <si>
    <t>PREGO DE ACO POLIDO COM CABECA 14 X 18 (1 1/2 X 14)</t>
  </si>
  <si>
    <t>PREGO DE ACO POLIDO COM CABECA 15 X 15 (1 1/4 X 13)</t>
  </si>
  <si>
    <t>PREGO DE ACO POLIDO COM CABECA 15 X 18 (1 1/2 X 13)</t>
  </si>
  <si>
    <t>PREGO DE ACO POLIDO COM CABECA 16 X 24 (2 1/4 X 12)</t>
  </si>
  <si>
    <t>PREGO DE ACO POLIDO COM CABECA 16 X 27 (2 1/2 X 12)</t>
  </si>
  <si>
    <t>PREGO DE ACO POLIDO COM CABECA 17 X 21 (2 X 11)</t>
  </si>
  <si>
    <t>PREGO DE ACO POLIDO COM CABECA 17 X 24 (2 1/4 X 11)</t>
  </si>
  <si>
    <t>PREGO DE ACO POLIDO COM CABECA 17 X 27 (2 1/2 X 11)</t>
  </si>
  <si>
    <t>PREGO DE ACO POLIDO COM CABECA 17 X 30 (2 3/4 X 11)</t>
  </si>
  <si>
    <t>PREGO DE ACO POLIDO COM CABECA 18 X 24 (2 1/4 X 10)</t>
  </si>
  <si>
    <t>PREGO DE ACO POLIDO COM CABECA 18 X 27 (2 1/2 X 10)</t>
  </si>
  <si>
    <t>PREGO DE ACO POLIDO COM CABECA 18 X 30 (2 3/4 X 10)</t>
  </si>
  <si>
    <t>PREGO DE ACO POLIDO COM CABECA 19  X 36 (3 1/4  X  9)</t>
  </si>
  <si>
    <t>PREGO DE ACO POLIDO COM CABECA 19 X 33 (3 X 9)</t>
  </si>
  <si>
    <t>PREGO DE ACO POLIDO COM CABECA 22 X 48 (4 1/4 X 5)</t>
  </si>
  <si>
    <t>PREGO DE ACO POLIDO COM CABECA DUPLA 17 X 27 (2 1/2 X 11)</t>
  </si>
  <si>
    <t>PREGO DE ACO POLIDO SEM CABECA 15 X 15 (1 1/4 X 13)</t>
  </si>
  <si>
    <t>REBITE DE ALUMINIO VAZADO DE REPUXO, 3,2 X 8 MM (1KG = 1025 UNIDADES)</t>
  </si>
  <si>
    <t xml:space="preserve">REJUNTE CIMENTICIO, QUALQUER COR	</t>
  </si>
  <si>
    <t>REJUNTE EPOXI BRANCO</t>
  </si>
  <si>
    <t>REVESTIMENTO EM CERAMICA ESMALTADA EXTRA, PEI MENOR OU IGUAL A 3, FORMATO MENOR OU IGUAL A 2025 CM2</t>
  </si>
  <si>
    <t>RIPA NAO APARELHADA *1 X 3* CM, EM MACARANDUBA, ANGELIM OU EQUIVALENTE DA REGIAO - BRUTA</t>
  </si>
  <si>
    <t>RIPA NAO APARELHADA, *1,5 X 5* CM, EM MACARANDUBA, ANGELIM OU EQUIVALENTE DA REGIAO - BRUTA</t>
  </si>
  <si>
    <t xml:space="preserve">	ROLDANA DUPLA, EM ZAMAC COM CHAPA DE LATAO, ROLAMENTOS EM ACO, PARA PORTA E JANELA DE CORRER</t>
  </si>
  <si>
    <t>RODO PARA CHAO 40 CM COM CABO</t>
  </si>
  <si>
    <t>ROLO DE ESPUMA POLIESTER 23 CM (SEM CABO)</t>
  </si>
  <si>
    <t>ROLO DE LA DE CARNEIRO 23 CM (SEM CABO)</t>
  </si>
  <si>
    <t>RUFO EM CHAPA DE AÇO GALVANIZADO NÚMERO 26, CORTE DE 50 CM</t>
  </si>
  <si>
    <t>m</t>
  </si>
  <si>
    <t>SELADOR ACRILICO PAREDES INTERNAS/EXTERNAS</t>
  </si>
  <si>
    <t>SELANTE ELASTICO MONOCOMPONENTE A BASE DE POLIURETANO PARA JUNTAS DIVERSAS</t>
  </si>
  <si>
    <t>310ML</t>
  </si>
  <si>
    <t>SOLDA EM BARRA DE ESTANHO-CHUMBO 50/50</t>
  </si>
  <si>
    <t>TELA DE ARAME GALVANIZADA QUADRANGULAR / LOSANGULAR, FIO 2,11 MM (14 BWG), MALHA 5 X 5 CM, H = 2 M</t>
  </si>
  <si>
    <t>TELHA DE FIBROCIMENTO ONDULADA E = 6 MM, DE 1,83 X 1,10 M (SEM AMIANTO)</t>
  </si>
  <si>
    <t>TELHA DE FIBROCIMENTO ONDULADA E = 6 MM, DE 2,44 X 1,10 M (SEM AMIANTO)</t>
  </si>
  <si>
    <t xml:space="preserve">M2    </t>
  </si>
  <si>
    <t>TELHA DE FIBROCIMENTO ONDULADA E = 6 MM, DE 3,66 X 1,10 M (SEM AMIANTO)</t>
  </si>
  <si>
    <t>TINTA A BASE DE RESINA ACRILICA, PARA SINALIZACAO HORIZONTAL VIARIA (NBR 11862)</t>
  </si>
  <si>
    <t>TINTA ACRILICA PREMIUM PARA PISO</t>
  </si>
  <si>
    <t>TINTA ACRILICA PREMIUM, COR BRANCO FOSCO</t>
  </si>
  <si>
    <t>TINTA EPOXI PREMIUM, BRANCA</t>
  </si>
  <si>
    <t>TINTA LATEX ACRILICA ECONOMICA, COR BRANCA</t>
  </si>
  <si>
    <t>TINTA LATEX ACRILICA STANDARD, COR BRANCA</t>
  </si>
  <si>
    <t>TINTA PROTETORA SUPERFICIE METALICA ALUMINIO</t>
  </si>
  <si>
    <t>TINTA ESMALTE BASE AGUA PREMIUM ACETINADO</t>
  </si>
  <si>
    <t>TINTA ESMALTE BASE AGUA PREMIUM BRILHANTE</t>
  </si>
  <si>
    <t>VERNIZ POLIURETANO BRILHANTE PARA MADEIRA, COM FILTRO SOLAR, USO INTERNO E EXTERNO</t>
  </si>
  <si>
    <t>VIDRO LISO FUME E = 4MM - SEM COLOCACAO</t>
  </si>
  <si>
    <t>VIDRO LISO FUME E = 6MM - SEM COLOCACAO</t>
  </si>
  <si>
    <t>VIDRO LISO FUME, E = 5 MM - SEM COLOCACAO</t>
  </si>
  <si>
    <t>VIDRO LISO INCOLOR 10 MM - SEM COLOCACAO</t>
  </si>
  <si>
    <t>VIDRO LISO INCOLOR 2 A 3 MM - SEM COLOCACAO</t>
  </si>
  <si>
    <t>VIDRO LISO INCOLOR 4MM - SEM COLOCACAO</t>
  </si>
  <si>
    <t>VIDRO LISO INCOLOR 5MM - SEM COLOCACAO</t>
  </si>
  <si>
    <t>VIDRO LISO INCOLOR 6 MM - SEM COLOCACAO</t>
  </si>
  <si>
    <t>VIDRO LISO INCOLOR 8MM  -  SEM COLOCACAO</t>
  </si>
  <si>
    <t>VIDRO MARTELADO OU CANELADO, 4 MM - SEM COLOCACAO</t>
  </si>
  <si>
    <t>VIDRO PLANO ARAMADO E = 6 MM - SEM COLOCACAO</t>
  </si>
  <si>
    <t>VIDRO PLANO ARMADO E = 7MM - SEM COLOCACAO</t>
  </si>
  <si>
    <t>VIDRO TEMPERADO INCOLOR E = 10 MM, SEM COLOCACAO</t>
  </si>
  <si>
    <t>VIDRO TEMPERADO INCOLOR E = 6 MM, SEM COLOCACAO</t>
  </si>
  <si>
    <t>VIDRO TEMPERADO INCOLOR E = 8 MM, SEM COLOCACAO</t>
  </si>
  <si>
    <t>VIDRO TEMPERADO INCOLOR PARA PORTA DE ABRIR, E = 10 MM (SEM FERRAGENS E SEM COLOCACAO)</t>
  </si>
  <si>
    <t>VIDRO TEMPERADO VERDE E = 10 MM, SEM COLOCACAO</t>
  </si>
  <si>
    <t>VIDRO TEMPERADO VERDE E = 6 MM, SEM COLOCACAO</t>
  </si>
  <si>
    <t>VALOR TOTAL ESTIMADO (A)</t>
  </si>
  <si>
    <t>B - MATERIAIS HIDRÁULICOS</t>
  </si>
  <si>
    <t>ADAPTADOR PVC SOLDAVEL CURTO COM BOLSA E ROSCA, 20 MM X 1/2", PARA AGUA FRIA</t>
  </si>
  <si>
    <t>ADAPTADOR PVC SOLDAVEL CURTO COM BOLSA E ROSCA, 25 MM X 3/4", PARA AGUA FRIA</t>
  </si>
  <si>
    <t>ADAPTADOR PVC SOLDAVEL CURTO COM BOLSA E ROSCA, 32 MM X 1", PARA AGUA FRIA</t>
  </si>
  <si>
    <t>ADAPTADOR PVC SOLDAVEL CURTO COM BOLSA E ROSCA, 40 MM X 1 1/2", PARA AGUA FRIA</t>
  </si>
  <si>
    <t>ADAPTADOR PVC SOLDAVEL CURTO COM BOLSA E ROSCA, 50 MM X 1 1/4", PARA AGUA FRIA</t>
  </si>
  <si>
    <t>ADAPTADOR PVC SOLDAVEL CURTO COM BOLSA E ROSCA, 50 MM X1 1/2", PARA AGUA FRIA</t>
  </si>
  <si>
    <t>ADAPTADOR PVC SOLDAVEL, COM FLANGE E ANEL DE VEDACAO, 20 MM X 1/2", PARA CAIXA D'AGUA</t>
  </si>
  <si>
    <t>ADAPTADOR PVC SOLDAVEL, COM FLANGE E ANEL DE VEDACAO, 25 MM X 3/4", PARA CAIXA D'AGUA</t>
  </si>
  <si>
    <t>ADAPTADOR PVC SOLDAVEL, COM FLANGE E ANEL DE VEDACAO, 32 MM X 1", PARA CAIXA D'AGUA</t>
  </si>
  <si>
    <t>ADAPTADOR PVC SOLDAVEL, COM FLANGE E ANEL DE VEDACAO, 40 MM X 1 1/4", PARA CAIXA D'AGUA</t>
  </si>
  <si>
    <t>ADAPTADOR PVC SOLDAVEL, COM FLANGE E ANEL DE VEDACAO, 50 MM X 1 1/2", PARA CAIXA D'AGUA</t>
  </si>
  <si>
    <t>ADAPTADOR PVC, COM REGISTRO, PARA PEAD, 20 MM X 3/4", PARA LIGACAO PREDIAL DE AGUA</t>
  </si>
  <si>
    <t>ADESIVO PLASTICO PARA PVC, BISNAGA COM 75 GR</t>
  </si>
  <si>
    <t>ADESIVO PLASTICO PARA PVC, FRASCO COM 175 GR</t>
  </si>
  <si>
    <t>ADESIVO PLASTICO PARA PVC, FRASCO COM 850 GR</t>
  </si>
  <si>
    <t xml:space="preserve">ADESIVO PARA TUBOS CPVC, *75* G	</t>
  </si>
  <si>
    <t>ADESIVO ESTRUTURAL A BASE DE RESINA EPOXI, BICOMPONENTE, FLUIDO</t>
  </si>
  <si>
    <t>ANEL BORRACHA PARA TUBO ESGOTO PREDIAL DN 50 MM (NBR 5688)</t>
  </si>
  <si>
    <t>ANEL BORRACHA PARA TUBO ESGOTO PREDIAL DN 75 MM (NBR 5688)</t>
  </si>
  <si>
    <t>ANEL BORRACHA PARA TUBO ESGOTO PREDIAL, DN 100 MM (NBR 5688)</t>
  </si>
  <si>
    <t>ASSENTO SANITARIO DE PLASTICO, TIPO CONVENCIONAL</t>
  </si>
  <si>
    <t>AUTOMATICO DE BOIA SUPERIOR / INFERIOR, *15* A / 250 V</t>
  </si>
  <si>
    <t>BOLSA DE LIGACAO EM PVC FLEXIVEL PARA VASO SANITARIO 1.1/2 " (40 MM)</t>
  </si>
  <si>
    <t>BRAÇO / CANO PARA CHUVEIRO ELETRICO, EM ALUMINIO, 30 CM X 1/2 "</t>
  </si>
  <si>
    <t>CAIXA SIFONADA PVC, 100 X 100 X 50 MM, COM GRELHA REDONDA BRANCA</t>
  </si>
  <si>
    <t>CAIXA SIFONADA PVC, 150 X 150 X 50 MM, COM GRELHA QUADRADA BRANCA (NBR 5688)</t>
  </si>
  <si>
    <t xml:space="preserve">	CAIXA SIFONADA PVC, 150 X 150 X 50 MM, COM GRELHA REDONDA BRANCA</t>
  </si>
  <si>
    <t>CAIXA D'AGUA EM POLIETILENO 1000 LITROS, COM TAMPA</t>
  </si>
  <si>
    <t>CAIXA D'AGUA EM POLIETILENO 1500 LITROS, COM TAMPA</t>
  </si>
  <si>
    <t xml:space="preserve">	CAIXA D'AGUA EM POLIETILENO 2000 LITROS, COM TAMPA</t>
  </si>
  <si>
    <t>CHUVEIRO COMUM EM PLASTICO BRANCO, COM CANO, 3 TEMPERATURAS, 5500 W (110/220 V)</t>
  </si>
  <si>
    <t>CAP PVC, ROSCAVEL, 1/2", PARA AGUA FRIA PREDIAL</t>
  </si>
  <si>
    <t xml:space="preserve">	CAP PVC, ROSCAVEL, 3/4", PARA AGUA FRIA PREDIAL</t>
  </si>
  <si>
    <t>CAP PVC, ROSCAVEL, 1", PARA AGUA FRIA PREDIAL</t>
  </si>
  <si>
    <t xml:space="preserve">CAP PVC, SOLDAVEL, 25 MM, PARA AGUA FRIA PREDIAL	</t>
  </si>
  <si>
    <t xml:space="preserve">	CAP PVC, SOLDAVEL, 32 MM, PARA AGUA FRIA PREDIAL</t>
  </si>
  <si>
    <t xml:space="preserve">CAP PVC, SOLDAVEL, 40 MM, PARA AGUA FRIA PREDIAL	</t>
  </si>
  <si>
    <t>CONJUNTO DE LIGACAO PARA BACIA SANITARIA EM PLASTICO BRANCO COM TUBO, CANOPLA E ANEL DE EXPANSAO (TUBO 1.1/2 '' X 20 CM)</t>
  </si>
  <si>
    <t xml:space="preserve">	CUBA ACO INOX (AISI 304) DE EMBUTIR COM VALVULA 3 1/2 ", DE *46 X 30 X 12* CM</t>
  </si>
  <si>
    <t xml:space="preserve">	CURVA DE PVC 45 GRAUS, SOLDAVEL, 20 MM, PARA AGUA FRIA PREDIAL (NBR 5648)</t>
  </si>
  <si>
    <t>CURVA DE PVC 45 GRAUS, SOLDAVEL, 25 MM, PARA AGUA FRIA PREDIAL (NBR 5648)</t>
  </si>
  <si>
    <t>CURVA DE PVC 45 GRAUS, SOLDAVEL, 32 MM, PARA AGUA FRIA PREDIAL (NBR 5648)</t>
  </si>
  <si>
    <t xml:space="preserve">	CURVA DE PVC 45 GRAUS, SOLDAVEL, 40 MM, PARA AGUA FRIA PREDIAL (NBR 5648)</t>
  </si>
  <si>
    <t>CURVA DE PVC 45 GRAUS, SOLDAVEL, 50 MM, COR MARROM, PARA AGUA FRIA PREDIAL</t>
  </si>
  <si>
    <t>CURVA DE PVC 45 GRAUS, SOLDAVEL, 60 MM, COR MARROM, PARA AGUA FRIA PREDIAL</t>
  </si>
  <si>
    <t>CURVA DE PVC 45 GRAUS, SOLDAVEL, 75 MM, COR MARROM, PARA AGUA FRIA PREDIAL</t>
  </si>
  <si>
    <t xml:space="preserve">	CURVA DE PVC 90 GRAUS, SOLDAVEL, 75 MM, PARA AGUA FRIA PREDIAL (NBR 5648)</t>
  </si>
  <si>
    <t>CURVA DE PVC 90 GRAUS, SOLDAVEL, 25 MM, PARA AGUA FRIA PREDIAL (NBR 5648)</t>
  </si>
  <si>
    <t>CURVA DE PVC 90 GRAUS, SOLDAVEL, 32 MM, PARA AGUA FRIA PREDIAL (NBR 5648)</t>
  </si>
  <si>
    <t>CURVA DE PVC 90 GRAUS, SOLDAVEL, 40 MM, PARA AGUA FRIA PREDIAL (NBR 5648)</t>
  </si>
  <si>
    <t>CURVA DE PVC 90 GRAUS, SOLDAVEL, 50 MM, PARA AGUA FRIA PREDIAL (NBR 5648)</t>
  </si>
  <si>
    <t>CURVA DE PVC 90 GRAUS, SOLDAVEL, 60 MM, PARA AGUA FRIA PREDIAL (NBR 5648)</t>
  </si>
  <si>
    <t>CURVA PVC CURTA 90 GRAUS, 100 MM, PARA ESGOTO PREDIAL</t>
  </si>
  <si>
    <t>CURVA PVC CURTA 90 GRAUS, DN 40 MM, PARA ESGOTO PREDIAL</t>
  </si>
  <si>
    <t>ENGATE / RABICHO FLEXIVEL INOX 1/2 " X 40 CM</t>
  </si>
  <si>
    <t>ENGATE / RABICHO FLEXIVEL INOX 1/2 " X 30 CM</t>
  </si>
  <si>
    <t>FITA VEDA ROSCA EM ROLOS DE 18 MM X 10 M (L X C)</t>
  </si>
  <si>
    <t>JOELHO DE REDUCAO, PVC SOLDAVEL, 90 GRAUS, 25 MM X 20 MM, PARA AGUA FRIA PREDIAL</t>
  </si>
  <si>
    <t>JOELHO DE REDUCAO, PVC SOLDAVEL, 90 GRAUS, 32 MM X 25 MM, PARA AGUA FRIA PREDIAL</t>
  </si>
  <si>
    <t>JOELHO DE REDUCAO, PVC, ROSCAVEL, 90 GRAUS, 3/4" X 1/2", PARA AGUA FRIA PREDIAL</t>
  </si>
  <si>
    <t>JOELHO PVC, SOLDAVEL, 90 GRAUS, 25 MM, PARA AGUA FRIA PREDIAL</t>
  </si>
  <si>
    <t>JOELHO PVC, SOLDAVEL, 90 GRAUS, 32 MM, PARA AGUA FRIA PREDIAL</t>
  </si>
  <si>
    <t>JOELHO PVC, SOLDAVEL, 90 GRAUS, 40 MM, PARA AGUA FRIA PREDIAL</t>
  </si>
  <si>
    <t>JOELHO PVC, SOLDAVEL, 90 GRAUS, 50 MM, PARA AGUA FRIA PREDIAL</t>
  </si>
  <si>
    <t>JOELHO PVC, SOLDAVEL, 90 GRAUS, 60 MM, PARA AGUA FRIA PREDIAL</t>
  </si>
  <si>
    <t>JOELHO PVC, SOLDAVEL, COM BUCHA DE LATAO, 90 GRAUS, 25 MM X 1/2", PARA AGUA FRIA PREDIAL</t>
  </si>
  <si>
    <t>JOELHO PVC, SOLDAVEL, PB, 45 GRAUS, DN 100 MM, PARA ESGOTO PREDIAL</t>
  </si>
  <si>
    <t>JOELHO PVC, SOLDAVEL, PB, 45 GRAUS, DN 40 MM, PARA ESGOTO PREDIAL</t>
  </si>
  <si>
    <t>JOELHO PVC, SOLDAVEL, PB, 45 GRAUS, DN 50 MM, PARA ESGOTO PREDIAL</t>
  </si>
  <si>
    <t>JOELHO PVC, SOLDAVEL, PB, 45 GRAUS, DN 75 MM, PARA ESGOTO PREDIAL</t>
  </si>
  <si>
    <t>JOELHO PVC, SOLDAVEL, PB, 90 GRAUS, DN 50 MM, PARA ESGOTO PREDIAL</t>
  </si>
  <si>
    <t>JUNCAO SIMPLES, PVC SERIE R, DN 100 X 100 MM, PARA ESGOTO OU AGUAS PLUVIAIS PREDIAIS</t>
  </si>
  <si>
    <t xml:space="preserve">	JUNCAO SIMPLES, PVC SERIE R, DN 100 X 75 MM, PARA ESGOTO OU AGUAS PLUVIAIS PREDIAIS</t>
  </si>
  <si>
    <t xml:space="preserve">	JUNCAO SIMPLES, PVC SERIE R, DN 150 X 100 MM, PARA ESGOTO OU AGUAS PLUVIAIS PREDIAIS</t>
  </si>
  <si>
    <t>JUNCAO SIMPLES, PVC SERIE R, DN 150 X 150 MM, PARA ESGOTO OU AGUAS PLUVIAIS PREDIAIS</t>
  </si>
  <si>
    <t>JUNCAO SIMPLES, PVC SERIE R, DN 40 X 40 MM, PARA ESGOTO OU AGUAS PLUVIAIS PREDIAIS</t>
  </si>
  <si>
    <t>JUNCAO SIMPLES, PVC SERIE R, DN 50 X 50 MM, PARA ESGOTO OU AGUAS PLUVIAIS PREDIAIS</t>
  </si>
  <si>
    <t>JUNCAO SIMPLES, PVC SERIE R, DN 75 X 75 MM, PARA ESGOTO OU AGUAS PLUVIAIS PREDIAIS</t>
  </si>
  <si>
    <t>LAVATORIO/CUBA DE EMBUTIR OVAL LOUCA BRANCA SEM LADRAO *50 X 35* CM</t>
  </si>
  <si>
    <t>LUVA DE CORRER, PVC, DN 100 MM, PARA ESGOTO PREDIAL</t>
  </si>
  <si>
    <t>LUVA DE CORRER, PVC, DN 75 MM, PARA ESGOTO PREDIAL</t>
  </si>
  <si>
    <t>LUVA SIMPLES, PVC SERIE REFORCADA - R, 75 MM, PARA ESGOTO PREDIAL</t>
  </si>
  <si>
    <t>LUVA SIMPLES, PVC, SOLDAVEL, DN 40 MM, SERIE NORMAL, PARA ESGOTO PREDIAL</t>
  </si>
  <si>
    <t>LUVA SOLDAVEL COM ROSCA, PVC, 32 MM X 1", PARA AGUA FRIA PREDIAL</t>
  </si>
  <si>
    <t>LUVA SOLDAVEL COM ROSCA, PVC, 40 MM X 1 1/4", PARA AGUA FRIA PREDIAL</t>
  </si>
  <si>
    <t>LUVA SOLDAVEL COM ROSCA, PVC, 50 MM X 1 1/2", PARA AGUA FRIA PREDIAL</t>
  </si>
  <si>
    <t>MICTORIO SIFONADO LOUCA BRANCA SEM COMPLEMENTOS</t>
  </si>
  <si>
    <t>MANGUEIRA DE PVC FLEXIVEL,TIPO FLAT/ACHATADA, COR LARANJA, D = 1 1/2" (40 MM), PARA CONDUCAO DE AGUA, SERVICOS LEVES E MEDIOS</t>
  </si>
  <si>
    <t>PARAFUSO DE LATAO COM ACABAMENTO CROMADO PARA FIXAR PECA SANITARIA, INCLUI PORCA CEGA, ARRUELA E BUCHA DE NYLON TAMANHO S-10</t>
  </si>
  <si>
    <t>PARAFUSO NIQUELADO 3 1/2" COM ACABAMENTO CROMADO PARA FIXAR PECA SANITARIA, INCLUI PORCA CEGA, ARRUELA E BUCHA DE NYLON TAMANHO S-8</t>
  </si>
  <si>
    <t xml:space="preserve">RALO SECO PVC CONICO, 100 X 40 MM, COM GRELHA QUADRADA	</t>
  </si>
  <si>
    <t>RALO SECO PVC CONICO, 100 X 40 MM, COM GRELHA REDONDA BRANCA</t>
  </si>
  <si>
    <t xml:space="preserve">	RALO SECO PVC QUADRADO, 100 X 100 X 53 MM, SAIDA 40 MM, COM GRELHA BRANCA</t>
  </si>
  <si>
    <t>RALO FOFO SEMIESFERICO, 75 MM, PARA LAJES/ CALHAS</t>
  </si>
  <si>
    <t>RALO FOFO SEMIESFERICO, 100 MM, PARA LAJES/ CALHAS</t>
  </si>
  <si>
    <t xml:space="preserve">	RALO FOFO SEMIESFERICO, 150 MM, PARA LAJES/ CALHAS</t>
  </si>
  <si>
    <t>REGISTRO GAVETA BRUTO EM LATAO FORJADO, BITOLA 2 "</t>
  </si>
  <si>
    <t>REGISTRO GAVETA COM ACABAMENTO E CANOPLA CROMADOS, SIMPLES, BITOLA 1 "</t>
  </si>
  <si>
    <t>REGISTRO GAVETA COM ACABAMENTO E CANOPLA CROMADOS, SIMPLES, BITOLA 1 1/2 "</t>
  </si>
  <si>
    <t>REGISTRO GAVETA COM ACABAMENTO E CANOPLA CROMADOS, SIMPLES, BITOLA 1 1/4 "</t>
  </si>
  <si>
    <t>REGISTRO GAVETA COM ACABAMENTO E CANOPLA CROMADOS, SIMPLES, BITOLA 3/4 "</t>
  </si>
  <si>
    <t>REGISTRO PRESSAO COM ACABAMENTO E CANOPLA CROMADA, SIMPLES, BITOLA 1/2 " (REF 1416)</t>
  </si>
  <si>
    <t>SABONETEIRA DE PAREDE EM METAL CROMADO</t>
  </si>
  <si>
    <t>SABONETEIRA PLASTICA TIPO DISPENSER PARA SABONETE LIQUIDO COM RESERVATORIO 800 A 1500 ML</t>
  </si>
  <si>
    <t>SIFAO EM METAL CROMADO PARA PIA AMERICANA, 1.1/2 X 1.1/2 "</t>
  </si>
  <si>
    <t>SIFAO EM METAL CROMADO PARA PIA AMERICANA, 1.1/2 X 2 "</t>
  </si>
  <si>
    <t>SIFAO EM METAL CROMADO PARA PIA OU LAVATORIO, 1 X 1.1/2 "</t>
  </si>
  <si>
    <t>SIFAO EM METAL CROMADO PARA TANQUE, 1.1/4 X 1.1/2 "</t>
  </si>
  <si>
    <t>SIFAO PLASTICO EXTENSIVEL UNIVERSAL, TIPO COPO</t>
  </si>
  <si>
    <t>SIFAO PLASTICO TIPO COPO PARA PIA AMERICANA 1.1/2 X 1.1/2 "</t>
  </si>
  <si>
    <t>SIFAO PLASTICO TIPO COPO PARA PIA OU LAVATORIO, 1 X 1.1/2 "</t>
  </si>
  <si>
    <t>SIFAO PLASTICO TIPO COPO PARA TANQUE, 1.1/4 X 1.1/2 "</t>
  </si>
  <si>
    <t>SOLUCAO LIMPADORA PARA PVC, FRASCO COM 1000 CM3</t>
  </si>
  <si>
    <t>TE SOLDAVEL, PVC, 90 GRAUS, 25 MM, PARA AGUA FRIA PREDIAL (NBR 5648)</t>
  </si>
  <si>
    <t>TE SOLDAVEL, PVC, 90 GRAUS, 32 MM, PARA AGUA FRIA PREDIAL (NBR 5648)</t>
  </si>
  <si>
    <t>TE SOLDAVEL, PVC, 90 GRAUS, 40 MM, PARA AGUA FRIA PREDIAL (NBR 5648)</t>
  </si>
  <si>
    <t>TE SOLDAVEL, PVC, 90 GRAUS, 60 MM, PARA AGUA FRIA PREDIAL (NBR 5648)</t>
  </si>
  <si>
    <t>TE SOLDAVEL, PVC, 90 GRAUS, 75 MM, PARA AGUA FRIA PREDIAL (NBR 5648)</t>
  </si>
  <si>
    <t>TE SOLDAVEL, PVC, 90 GRAUS, 85 MM, PARA AGUA FRIA PREDIAL (NBR 5648)</t>
  </si>
  <si>
    <t>TE SOLDAVEL, PVC, 90 GRAUS,50 MM, PARA AGUA FRIA PREDIAL (NBR 5648)</t>
  </si>
  <si>
    <t>TORNEIRA DE BOIA VAZAO TOTAL PARA CAIXA D'AGUA, 1/2", COM HASTE E TORNEIRA METALICOS E BALAO PLASTICO</t>
  </si>
  <si>
    <t>TORNEIRA CROMADA SEM BICO PARA TANQUE 1/2 " OU 3/4 " (REF 1143)</t>
  </si>
  <si>
    <t>TUBO PVC SERIE NORMAL, DN 100 MM, PARA ESGOTO PREDIAL (NBR 5688)</t>
  </si>
  <si>
    <t>TUBO PVC SERIE NORMAL, DN 150 MM, PARA ESGOTO PREDIAL (NBR 5688)</t>
  </si>
  <si>
    <t>TUBO PVC SERIE NORMAL, DN 40 MM, PARA ESGOTO PREDIAL (NBR 5688)</t>
  </si>
  <si>
    <t>TUBO PVC SERIE NORMAL, DN 50 MM, PARA ESGOTO PREDIAL (NBR 5688)</t>
  </si>
  <si>
    <t>TUBO PVC SERIE NORMAL, DN 75 MM, PARA ESGOTO PREDIAL (NBR 5688)</t>
  </si>
  <si>
    <t>TUBO PVC, SERIE R, DN 100 MM, PARA ESGOTO OU AGUAS PLUVIAIS PREDIAL (NBR 5688)</t>
  </si>
  <si>
    <t>TUBO PVC, SERIE R, DN 150 MM, PARA ESGOTO OU AGUAS PLUVIAIS PREDIAL (NBR 5688)</t>
  </si>
  <si>
    <t>TUBO PVC, SOLDAVEL, DN 110 MM, AGUA FRIA (NBR-5648)</t>
  </si>
  <si>
    <t>TUBO PVC, SOLDAVEL, DN 25 MM, AGUA FRIA (NBR-5648)</t>
  </si>
  <si>
    <t>TUBO PVC, SOLDAVEL, DN 32 MM, AGUA FRIA (NBR-5648)</t>
  </si>
  <si>
    <t>TUBO PVC, SOLDAVEL, DN 40 MM, AGUA FRIA (NBR-5648)</t>
  </si>
  <si>
    <t>TUBO PVC, SOLDAVEL, DN 50 MM, PARA AGUA FRIA (NBR-5648)</t>
  </si>
  <si>
    <t>TUBO PVC, SOLDAVEL, DN 60 MM, AGUA FRIA (NBR-5648)</t>
  </si>
  <si>
    <t>TUBO PVC, SOLDAVEL, DN 75 MM, AGUA FRIA (NBR-5648)</t>
  </si>
  <si>
    <t>TUBO PVC, SOLDAVEL, DN 85 MM, AGUA FRIA (NBR-5648)</t>
  </si>
  <si>
    <t>VALVULA DE DESCARGA METALICA, BASE 1 1/2 " E ACABAMENTO METALICO CROMADO</t>
  </si>
  <si>
    <t>VALVULA DE DESCARGA METALICA, BASE 1 1/4 " E ACABAMENTO METALICO CROMADO</t>
  </si>
  <si>
    <t>VALVULA EM METAL CROMADO PARA TANQUE, 1.1/2 " SEM LADRAO</t>
  </si>
  <si>
    <t>VEDACAO PVC, 100 MM, PARA SAIDA VASO SANITARIO</t>
  </si>
  <si>
    <t>VALOR TOTAL ESTIMADO(B)</t>
  </si>
  <si>
    <t>C - MATERIAIS ELÉTRICOS</t>
  </si>
  <si>
    <t>ABRAÇADEIRA EM AÇO PARA AMARRACAO DE ELETRODUTOS, TIPO D 1/2" E PARAFUSO DE FIXAÇÃO</t>
  </si>
  <si>
    <t>ABRACADEIRA EM ACO PARA AMARRACAO DE ELETRODUTOS, TIPO D, COM 3/4" E PARAFUSO DE FIXACAO</t>
  </si>
  <si>
    <t xml:space="preserve">	ABRACADEIRA DE NYLON PARA AMARRACAO DE CABOS, COMPRIMENTO DE 150 X *3,6* MM</t>
  </si>
  <si>
    <t>ABRACADEIRA DE NYLON PARA AMARRACAO DE CABOS, COMPRIMENTO DE 390 X *4,6* MM</t>
  </si>
  <si>
    <t>ALCA PREFORMADA DE DISTRIBUICAO, EM ACO GALVANIZADO, PARA CABO DE ALUMINIO DIAMETRO 16 A 25 MM</t>
  </si>
  <si>
    <t>ALCA PREFORMADA DE DISTRIBUICAO, EM ACO GALVANIZADO, PARA CONDUTORES DE ALUMINIO AWG 1/0 (CAA 6/1 OU CA 7 FIOS)</t>
  </si>
  <si>
    <t>ALCA PREFORMADA DE DISTRIBUICAO, EM ACO GALVANIZADO, PARA CONDUTORES DE ALUMINIO AWG 2 (CAA 6/1 OU CA 7 FIOS)</t>
  </si>
  <si>
    <t>ALCA PREFORMADA DE SERVICO, EM ACO GALVANIZADO, PARA CONDUTORES DE ALUMINIO AWG 4 (CAA 6/1)</t>
  </si>
  <si>
    <t>ALCA PREFORMADA DE SERVICO, EM ACO GALVANIZADO, PARA CONDUTORES DE ALUMINIO AWG 6 (CAA 6/1)</t>
  </si>
  <si>
    <t>ARRUELA EM ACO GALVANIZADO, DIAMETRO EXTERNO = 35MM, ESPESSURA = 3MM, DIAMETRO DO FURO= 18MM</t>
  </si>
  <si>
    <t>ARRUELA QUADRADA EM ACO GALVANIZADO, DIMENSAO = 38 MM, ESPESSURA = 3MM, DIAMETRO DO FURO= 18 MM</t>
  </si>
  <si>
    <t xml:space="preserve">	ARRUELA EM ALUMINIO, COM ROSCA, DE 3/4", PARA ELETRODUTO	</t>
  </si>
  <si>
    <t xml:space="preserve">	ARRUELA EM ALUMINIO, COM ROSCA, DE 1", PARA ELETRODUTO</t>
  </si>
  <si>
    <t xml:space="preserve">ARRUELA EM ALUMINIO, COM ROSCA, DE 2", PARA ELETRODUTO	</t>
  </si>
  <si>
    <t>BUCHA EM ALUMINIO, COM ROSCA, DE 2", PARA ELETRODUTO</t>
  </si>
  <si>
    <t>BUCHA EM ALUMINIO, COM ROSCA, DE 3/4", PARA ELETRODUTO</t>
  </si>
  <si>
    <t xml:space="preserve">	BUCHA EM ALUMINIO, COM ROSCA, DE 1", PARA ELETRODUTO</t>
  </si>
  <si>
    <t>CABO DE COBRE, FLEXIVEL, CLASSE 4 OU 5, ISOLACAO EM PVC/A, ANTICHAMA BWF-B, COBERTURA PVC-ST1, ANTICHAMA BWF-B, 1 CONDUTOR, 0,6/1 KV, SECAO NOMINAL 10 MM2</t>
  </si>
  <si>
    <t xml:space="preserve">M     </t>
  </si>
  <si>
    <t>CABO DE COBRE, FLEXIVEL, CLASSE 4 OU 5, ISOLACAO EM PVC/A, ANTICHAMA BWF-B, COBERTURA PVC-ST1, ANTICHAMA BWF-B, 1 CONDUTOR, 0,6/1 KV, SECAO NOMINAL 16 MM2</t>
  </si>
  <si>
    <t>CABO DE COBRE, FLEXIVEL, CLASSE 4 OU 5, ISOLACAO EM PVC/A, ANTICHAMA BWF-B, COBERTURA PVC-ST1, ANTICHAMA BWF-B, 1 CONDUTOR, 0,6/1 KV, SECAO NOMINAL 2,5 MM2</t>
  </si>
  <si>
    <t>CABO DE COBRE, FLEXIVEL, CLASSE 4 OU 5, ISOLACAO EM PVC/A, ANTICHAMA BWF-B, COBERTURA PVC-ST1, ANTICHAMA BWF-B, 1 CONDUTOR, 0,6/1 KV, SECAO NOMINAL 25 MM2</t>
  </si>
  <si>
    <t>CABO DE COBRE, FLEXIVEL, CLASSE 4 OU 5, ISOLACAO EM PVC/A, ANTICHAMA BWF-B, COBERTURA PVC-ST1, ANTICHAMA BWF-B, 1 CONDUTOR, 0,6/1 KV, SECAO NOMINAL 4 MM2</t>
  </si>
  <si>
    <t>CABO DE COBRE, FLEXIVEL, CLASSE 4 OU 5, ISOLACAO EM PVC/A, ANTICHAMA BWF-B, COBERTURA PVC-ST1, ANTICHAMA BWF-B, 1 CONDUTOR, 0,6/1 KV, SECAO NOMINAL 6 MM2</t>
  </si>
  <si>
    <t>CABO FLEXIVEL PVC 750 V, 2 CONDUTORES DE 1,5 MM2</t>
  </si>
  <si>
    <t>CABO FLEXIVEL PVC 750 V, 2 CONDUTORES DE 4,0 MM2</t>
  </si>
  <si>
    <t>CABO FLEXIVEL PVC 750 V, 2 CONDUTORES DE 6,0 MM2</t>
  </si>
  <si>
    <t>CABO FLEXIVEL PVC 750 V, 3 CONDUTORES DE 1,5 MM2</t>
  </si>
  <si>
    <t>CABO FLEXIVEL PVC 750 V, 3 CONDUTORES DE 4,0 MM2</t>
  </si>
  <si>
    <t>CABO FLEXIVEL PVC 750 V, 3 CONDUTORES DE 6,0 MM2</t>
  </si>
  <si>
    <t>CABO FLEXIVEL PVC 750 V, 4 CONDUTORES DE 1,5 MM2</t>
  </si>
  <si>
    <t>CABO FLEXIVEL PVC 750 V, 4 CONDUTORES DE 4,0 MM2</t>
  </si>
  <si>
    <t>CABO FLEXIVEL PVC 750 V, 4 CONDUTORES DE 6,0 MM2</t>
  </si>
  <si>
    <t>CABO MULTIPOLAR DE COBRE, FLEXIVEL, CLASSE 4 OU 5, ISOLACAO EM HEPR, COBERTURA EM PVC-ST2, ANTICHAMA BWF-B, 0,6/1 KV, 3 CONDUTORES DE 1,5 MM2</t>
  </si>
  <si>
    <t>CABO MULTIPOLAR DE COBRE, FLEXIVEL, CLASSE 4 OU 5, ISOLACAO EM HEPR, COBERTURA EM PVC-ST2, ANTICHAMA BWF-B, 0,6/1 KV, 3 CONDUTORES DE 10 MM2</t>
  </si>
  <si>
    <t>CABO MULTIPOLAR DE COBRE, FLEXIVEL, CLASSE 4 OU 5, ISOLACAO EM HEPR, COBERTURA EM PVC-ST2, ANTICHAMA BWF-B, 0,6/1 KV, 3 CONDUTORES DE 16 MM2</t>
  </si>
  <si>
    <t>CABO MULTIPOLAR DE COBRE, FLEXIVEL, CLASSE 4 OU 5, ISOLACAO EM HEPR, COBERTURA EM PVC-ST2, ANTICHAMA BWF-B, 0,6/1 KV, 3 CONDUTORES DE 2,5 MM2</t>
  </si>
  <si>
    <t>CABO MULTIPOLAR DE COBRE, FLEXIVEL, CLASSE 4 OU 5, ISOLACAO EM HEPR, COBERTURA EM PVC-ST2, ANTICHAMA BWF-B, 0,6/1 KV, 3 CONDUTORES DE 4 MM2</t>
  </si>
  <si>
    <t>CABO MULTIPOLAR DE COBRE, FLEXIVEL, CLASSE 4 OU 5, ISOLACAO EM HEPR, COBERTURA EM PVC-ST2, ANTICHAMA BWF-B, 0,6/1 KV, 3 CONDUTORES DE 6 MM2</t>
  </si>
  <si>
    <t xml:space="preserve">CABO TELEFONICO CCI 50, 2 PARES, USO INTERNO, SEM BLINDAGEM	</t>
  </si>
  <si>
    <t xml:space="preserve">CABO TELEFONICO CCI 50, 6 PARES, USO INTERNO, SEM BLINDAGEM	</t>
  </si>
  <si>
    <t>CABO DE REDE, PAR TRANCADO UTP, 4 PARES, CATEGORIA 6</t>
  </si>
  <si>
    <t>CAIXA DE PASSAGEM, EM PVC, DE 4" X 2", PARA ELETRODUTO FLEXIVEL CORRUGADO</t>
  </si>
  <si>
    <t xml:space="preserve">CAIXA DE PASSAGEM ELETRICA DE PAREDE, DE SOBREPOR, EM PVC, COM TAMPA APARAFUSADA, DIMENSOES, 400 X 400 X *120* MM	</t>
  </si>
  <si>
    <t>CONDULETE DE ALUMINIO TIPO C, PARA ELETRODUTO ROSCAVEL DE 3/4", COM TAMPA CEGA</t>
  </si>
  <si>
    <t>CONDULETE DE ALUMINIO TIPO E, PARA ELETRODUTO ROSCAVEL DE 3/4", COM TAMPA CEGA</t>
  </si>
  <si>
    <t>CONDULETE DE ALUMINIO TIPO LR, PARA ELETRODUTO ROSCAVEL DE 3/4", COM TAMPA CEGA</t>
  </si>
  <si>
    <t>CONDULETE DE ALUMINIO TIPO T, PARA ELETRODUTO ROSCAVEL DE 3/4", COM TAMPA CEGA</t>
  </si>
  <si>
    <t>CONECTOR DE ALUMINIO TIPO PRENSA CABO, BITOLA 1 1/2", PARA CABOS DE DIAMETRO DE 37 A 40 MM</t>
  </si>
  <si>
    <t>CONECTOR DE ALUMINIO TIPO PRENSA CABO, BITOLA 1 1/4", PARA CABOS DE DIAMETRO DE 31 A 34 MM</t>
  </si>
  <si>
    <t>CONECTOR DE ALUMINIO TIPO PRENSA CABO, BITOLA 1", PARA CABOS DE DIAMETRO DE 22,5 A 25 MM</t>
  </si>
  <si>
    <t>CONECTOR DE ALUMINIO TIPO PRENSA CABO, BITOLA 1/2", PARA CABOS DE DIAMETRO DE 12,5 A 15 MM</t>
  </si>
  <si>
    <t>CONECTOR DE ALUMINIO TIPO PRENSA CABO, BITOLA 2", PARA CABOS DE DIAMETRO DE 47,5 A 50 MM</t>
  </si>
  <si>
    <t>CONECTOR DE ALUMINIO TIPO PRENSA CABO, BITOLA 3/4", PARA CABOS DE DIAMETRO DE 17,5 A 20 MM</t>
  </si>
  <si>
    <t>CONECTOR DE ALUMINIO TIPO PRENSA CABO, BITOLA 3/8", PARA CABOS DE DIAMETRO DE 9 A 10 MM</t>
  </si>
  <si>
    <t>CONECTOR METALICO TIPO PARAFUSO FENDIDO (SPLIT BOLT), COM SEPARADOR DE CABOS BIMETALICOS, PARA CABOS ATE 25 MM2</t>
  </si>
  <si>
    <t>CONECTOR METALICO TIPO PARAFUSO FENDIDO (SPLIT BOLT), COM SEPARADOR DE CABOS BIMETALICOS, PARA CABOS ATE 50 MM2</t>
  </si>
  <si>
    <t>CONECTOR METALICO TIPO PARAFUSO FENDIDO (SPLIT BOLT), COM SEPARADOR DE CABOS BIMETALICOS, PARA CABOS ATE 70 MM2</t>
  </si>
  <si>
    <t>CONECTOR METALICO TIPO PARAFUSO FENDIDO (SPLIT BOLT), PARA CABOS ATE 10 MM2</t>
  </si>
  <si>
    <t>CONECTOR METALICO TIPO PARAFUSO FENDIDO (SPLIT BOLT), PARA CABOS ATE 120 MM2</t>
  </si>
  <si>
    <t>CONECTOR METALICO TIPO PARAFUSO FENDIDO (SPLIT BOLT), PARA CABOS ATE 150 MM2</t>
  </si>
  <si>
    <t>CONECTOR METALICO TIPO PARAFUSO FENDIDO (SPLIT BOLT), PARA CABOS ATE 16 MM2</t>
  </si>
  <si>
    <t>CONECTOR METALICO TIPO PARAFUSO FENDIDO (SPLIT BOLT), PARA CABOS ATE 185 MM2</t>
  </si>
  <si>
    <t>CONECTOR METALICO TIPO PARAFUSO FENDIDO (SPLIT BOLT), PARA CABOS ATE 25 MM2</t>
  </si>
  <si>
    <t>CONECTOR METALICO TIPO PARAFUSO FENDIDO (SPLIT BOLT), PARA CABOS ATE 35 MM2</t>
  </si>
  <si>
    <t>CONECTOR METALICO TIPO PARAFUSO FENDIDO (SPLIT BOLT), PARA CABOS ATE 50 MM2</t>
  </si>
  <si>
    <t>CONECTOR METALICO TIPO PARAFUSO FENDIDO (SPLIT BOLT), PARA CABOS ATE 6 MM2</t>
  </si>
  <si>
    <t>CONECTOR METALICO TIPO PARAFUSO FENDIDO (SPLIT BOLT), PARA CABOS ATE 70 MM2</t>
  </si>
  <si>
    <t>CONECTOR METALICO TIPO PARAFUSO FENDIDO (SPLIT BOLT), PARA CABOS ATE 95 MM2</t>
  </si>
  <si>
    <t>CONECTOR RETO DE ALUMINIO PARA ELETRODUTO DE 1 1/2", PARA ADAPTAR ENTRADA DE ELETRODUTO METALICO FLEXIVEL EM QUADROS</t>
  </si>
  <si>
    <t>CONECTOR RETO DE ALUMINIO PARA ELETRODUTO DE 1 1/4", PARA ADAPTAR ENTRADA DE ELETRODUTO METALICO FLEXIVEL EM QUADROS</t>
  </si>
  <si>
    <t>CONECTOR RETO DE ALUMINIO PARA ELETRODUTO DE 1", PARA ADAPTAR ENTRADA DE ELETRODUTO METALICO FLEXIVEL EM QUADROS</t>
  </si>
  <si>
    <t>CONECTOR RETO DE ALUMINIO PARA ELETRODUTO DE 1/2", PARA ADAPTAR ENTRADA DE ELETRODUTO METALICO FLEXIVEL EM QUADROS</t>
  </si>
  <si>
    <t>CONECTOR RETO DE ALUMINIO PARA ELETRODUTO DE 2 1/2", PARA ADAPTAR ENTRADA DE ELETRODUTO METALICO FLEXIVEL EM QUADROS</t>
  </si>
  <si>
    <t>CONECTOR RETO DE ALUMINIO PARA ELETRODUTO DE 2", PARA ADAPTAR ENTRADA DE ELETRODUTO METALICO FLEXIVEL EM QUADROS</t>
  </si>
  <si>
    <t>CONECTOR RETO DE ALUMINIO PARA ELETRODUTO DE 3", PARA ADAPTAR ENTRADA DE ELETRODUTO METALICO FLEXIVEL EM QUADROS</t>
  </si>
  <si>
    <t>CONECTOR RETO DE ALUMINIO PARA ELETRODUTO DE 3/4", PARA ADAPTAR ENTRADA DE ELETRODUTO METALICO FLEXIVEL EM QUADROS</t>
  </si>
  <si>
    <t>CONECTOR RETO DE ALUMINIO PARA ELETRODUTO DE 4", PARA ADAPTAR ENTRADA DE ELETRODUTO METALICO FLEXIVEL EM QUADROS</t>
  </si>
  <si>
    <t>DISJUNTOR TERMICO E MAGNETICO AJUSTAVEIS, TRIPOLAR DE 100 ATE 250A, CAPACIDADE DE INTERRUPCAO DE 35KA</t>
  </si>
  <si>
    <t>DISJUNTOR TIPO DIN/IEC, BIPOLAR DE 6 ATE 32A</t>
  </si>
  <si>
    <t>DISJUNTOR TIPO DIN/IEC, MONOPOLAR DE 6  ATE  32A</t>
  </si>
  <si>
    <t>DISJUNTOR TIPO DIN/IEC, TRIPOLAR DE 10 ATE 50A</t>
  </si>
  <si>
    <t>DISJUNTOR TIPO NEMA, TRIPOLAR 60 ATE 100 A, TENSAO MAXIMA DE 415 V</t>
  </si>
  <si>
    <t>DISPOSITIVO DR, 2 POLOS, SENSIBILIDADE DE 30 MA, CORRENTE DE 25 A, TIPO AC</t>
  </si>
  <si>
    <t>DISPOSITIVO DR, 2 POLOS, SENSIBILIDADE DE 30 MA, CORRENTE DE 40 A, TIPO AC</t>
  </si>
  <si>
    <t>ELETRODUTO DE PVC RIGIDO ROSCAVEL DE 3/4 ", SEM LUVA</t>
  </si>
  <si>
    <t xml:space="preserve">	ELETRODUTO DE PVC RIGIDO ROSCAVEL DE 1 ", SEM LUVA</t>
  </si>
  <si>
    <t>ELETRODUTO DE PVC RIGIDO ROSCAVEL DE 1 1/2 ", SEM LUVA</t>
  </si>
  <si>
    <t xml:space="preserve">ELETRODUTO DE PVC RIGIDO ROSCAVEL DE 2 ", SEM LUVA	</t>
  </si>
  <si>
    <t>ELETRODUTO FLEXIVEL, EM ACO GALVANIZADO, REVESTIDO EXTERNAMENTE COM PVC PRETO, DIAMETRO EXTERNO DE 25 MM (3/4"), TIPO SEALTUBO</t>
  </si>
  <si>
    <t xml:space="preserve">ELETRODUTO PVC FLEXIVEL CORRUGADO, COR AMARELA, DE 16 MM	</t>
  </si>
  <si>
    <t>ELETRODUTO PVC FLEXIVEL CORRUGADO, COR AMARELA, DE 20 MM</t>
  </si>
  <si>
    <t>ELETRODUTO PVC FLEXIVEL CORRUGADO, COR AMARELA, DE 25 MM</t>
  </si>
  <si>
    <t>ELETRODUTO PVC FLEXIVEL CORRUGADO, COR AMARELA, DE 32 MM</t>
  </si>
  <si>
    <t>FIO DE COBRE, SOLIDO, CLASSE 1, ISOLACAO EM PVC/A, ANTICHAMA BWF-B, 450/750V, SECAO NOMINAL 1,5 MM2</t>
  </si>
  <si>
    <t>FIO DE COBRE, SOLIDO, CLASSE 1, ISOLACAO EM PVC/A, ANTICHAMA BWF-B, 450/750V, SECAO NOMINAL 10 MM2</t>
  </si>
  <si>
    <t>FIO DE COBRE, SOLIDO, CLASSE 1, ISOLACAO EM PVC/A, ANTICHAMA BWF-B, 450/750V, SECAO NOMINAL 2,5 MM2</t>
  </si>
  <si>
    <t>FIO DE COBRE, SOLIDO, CLASSE 1, ISOLACAO EM PVC/A, ANTICHAMA BWF-B, 450/750V, SECAO NOMINAL 4 MM2</t>
  </si>
  <si>
    <t>FIO DE COBRE, SOLIDO, CLASSE 1, ISOLACAO EM PVC/A, ANTICHAMA BWF-B, 450/750V, SECAO NOMINAL 6 MM2</t>
  </si>
  <si>
    <t>FITA ISOLANTE ADESIVA ANTICHAMA, USO ATE 750 V, EM ROLO DE 19 MM X 20 M</t>
  </si>
  <si>
    <t>FITA ISOLANTE DE BORRACHA AUTOFUSAO, USO ATE 69 KV (ALTA TENSAO)</t>
  </si>
  <si>
    <t>INTERRUPTOR BIPOLAR 10A, 250V, CONJUNTO MONTADO PARA EMBUTIR 4" X 2" (PLACA + SUPORTE + MODULO)</t>
  </si>
  <si>
    <t>INTERRUPTOR BIPOLAR SIMPLES 10 A, 250 V (APENAS MODULO)</t>
  </si>
  <si>
    <t>INTERRUPTOR INTERMEDIARIO 10 A, 250 V (APENAS MODULO)</t>
  </si>
  <si>
    <t>INTERRUPTOR INTERMEDIARIO 10A, 250V, CONJUNTO MONTADO PARA EMBUTIR 4" X 2" (PLACA + SUPORTE + MODULO)</t>
  </si>
  <si>
    <t>INTERRUPTOR PARALELO + TOMADA 2P+T 10A, 250V, CONJUNTO MONTADO PARA EMBUTIR 4" X 2" (PLACA + SUPORTE + MODULOS)</t>
  </si>
  <si>
    <t>INTERRUPTOR PARALELO 10A, 250V (APENAS MODULO)</t>
  </si>
  <si>
    <t>INTERRUPTOR PARALELO 10A, 250V, CONJUNTO MONTADO PARA EMBUTIR 4" X 2" (PLACA + SUPORTE + MODULO)</t>
  </si>
  <si>
    <t>INTERRUPTOR SIMPLES + 2 INTERRUPTORES PARALELOS 10A, 250V, CONJUNTO MONTADO PARA EMBUTIR 4" X 2" (PLACA + SUPORTE + MODULOS)</t>
  </si>
  <si>
    <t>INTERRUPTOR SIMPLES + INTERRUPTOR PARALELO + TOMADA 2P+T 10A, 250V, CONJUNTO MONTADO PARA EMBUTIR 4" X 2" (PLACA + SUPORTE + MODULOS)</t>
  </si>
  <si>
    <t>INTERRUPTOR SIMPLES + INTERRUPTOR PARALELO 10A, 250V, CONJUNTO MONTADO PARA EMBUTIR 4" X 2" (PLACA + SUPORTE + MODULOS)</t>
  </si>
  <si>
    <t>INTERRUPTOR SIMPLES + TOMADA 2P+T 10A, 250V, CONJUNTO MONTADO PARA EMBUTIR 4" X 2" (PLACA + SUPORTE + MODULOS)</t>
  </si>
  <si>
    <t>INTERRUPTOR SIMPLES 10A, 250V (APENAS MODULO)</t>
  </si>
  <si>
    <t>INTERRUPTOR SIMPLES 10A, 250V, CONJUNTO MONTADO PARA EMBUTIR 4" X 2" (PLACA + SUPORTE + MODULO)</t>
  </si>
  <si>
    <t>INTERRUPTOR SIMPLES 10A, 250V, CONJUNTO MONTADO PARA SOBREPOR 4" X 2" (CAIXA + 2 MODULOS)</t>
  </si>
  <si>
    <t>INTERRUPTOR SIMPLES 10A, 250V, CONJUNTO MONTADO PARA SOBREPOR 4" X 2" (CAIXA + MODULO)</t>
  </si>
  <si>
    <t>INTERRUPTORES PARALELOS (2 MODULOS) + TOMADA 2P+T 10A, 250V, CONJUNTO MONTADO PARA EMBUTIR 4" X 2" (PLACA + SUPORTE + MODULOS)</t>
  </si>
  <si>
    <t>INTERRUPTORES PARALELOS (2 MODULOS) 10A, 250V, CONJUNTO MONTADO PARA EMBUTIR 4" X 2" (PLACA + SUPORTE + MODULOS)</t>
  </si>
  <si>
    <t>INTERRUPTORES PARALELOS (3 MODULOS) 10A, 250V, CONJUNTO MONTADO PARA EMBUTIR 4" X 2" (PLACA + SUPORTE + MODULO)</t>
  </si>
  <si>
    <t>INTERRUPTORES SIMPLES (2 MODULOS) + 1 INTERRUPTOR PARALELO 10A, 250V, CONJUNTO MONTADO PARA EMBUTIR 4" X 2" (PLACA + SUPORTE + MODULOS)</t>
  </si>
  <si>
    <t>INTERRUPTORES SIMPLES (2 MODULOS) + TOMADA 2P+T 10A, 250V, CONJUNTO MONTADO PARA EMBUTIR 4" X 2" (PLACA + SUPORTE + MODULOS)</t>
  </si>
  <si>
    <t>INTERRUPTORES SIMPLES (2 MODULOS) 10A, 250V, CONJUNTO MONTADO PARA EMBUTIR 4" X 2" (PLACA + SUPORTE + MODULOS)</t>
  </si>
  <si>
    <t>INTERRUPTORES SIMPLES (3 MODULOS) 10A, 250V, CONJUNTO MONTADO PARA EMBUTIR 4" X 2" (PLACA + SUPORTE + MODULOS)</t>
  </si>
  <si>
    <t xml:space="preserve">	ESPELHO / PLACA CEGA 4" X 2", PARA INSTALACAO DE TOMADAS E INTERRUPTORES</t>
  </si>
  <si>
    <t>ESPELHO / PLACA CEGA 4" X 4", PARA INSTALACAO DE TOMADAS E INTERRUPTORES</t>
  </si>
  <si>
    <t xml:space="preserve">	ESPELHO / PLACA DE 1 POSTO 4" X 2", PARA INSTALACAO DE TOMADAS E INTERRUPTORES</t>
  </si>
  <si>
    <t xml:space="preserve">	ESPELHO / PLACA DE 2 POSTOS 4" X 2", PARA INSTALACAO DE TOMADAS E INTERRUPTORES</t>
  </si>
  <si>
    <t>ESPELHO / PLACA DE 2 POSTOS 4" X 4", PARA INSTALACAO DE TOMADAS E INTERRUPTORES</t>
  </si>
  <si>
    <t>ESPELHO / PLACA DE 3 POSTOS 4" X 2", PARA INSTALACAO DE TOMADAS E INTERRUPTORES</t>
  </si>
  <si>
    <t xml:space="preserve">	ESPELHO / PLACA DE 4 POSTOS 4" X 4", PARA INSTALACAO DE TOMADAS E INTERRUPTORES</t>
  </si>
  <si>
    <t>ESPELHO / PLACA DE 6 POSTOS 4" X 4", PARA INSTALACAO DE TOMADAS E INTERRUPTORES</t>
  </si>
  <si>
    <t xml:space="preserve">ESPUMA EXPANSIVA DE POLIURETANO, APLICACAO MANUAL - 500 ML	</t>
  </si>
  <si>
    <t xml:space="preserve">	LAMPADA LED 10 W BIVOLT BRANCA, FORMATO TRADICIONAL (BASE E27)</t>
  </si>
  <si>
    <t xml:space="preserve">	LAMPADA LED TIPO DICROICA BIVOLT, LUZ BRANCA, 5 W (BASE GU10)	</t>
  </si>
  <si>
    <t>LAMPADA LED TUBULAR BIVOLT 18/20 W, BASE G13</t>
  </si>
  <si>
    <t xml:space="preserve">	LAMPADA LED TUBULAR BIVOLT 9/10 W, BASE G13</t>
  </si>
  <si>
    <t>LUMINARIA ABERTA P/ ILUMINACAO PUBLICA, TIPO X-57 PETERCO OU EQUIV</t>
  </si>
  <si>
    <t>LUMINARIA ARANDELA TIPO MEIA-LUA COM VIDRO FOSCO *30 X 15* CM, PARA 1 LAMPADA, BASE E27, POTENCIA MAXIMA 40/60 W (NAO INCLUI LAMPADA)</t>
  </si>
  <si>
    <t>LUMINARIA DE EMERGENCIA 30 LEDS, POTENCIA 2 W, BATERIA DE LITIO, AUTONOMIA DE 6 HORAS</t>
  </si>
  <si>
    <t>LUMINARIA DE TETO PLAFON/PLAFONIER EM PLASTICO COM BASE E27, POTENCIA MAXIMA 60 W (NAO INCLUI LAMPADA)</t>
  </si>
  <si>
    <t>LUMINARIA LED REFLETOR RETANGULAR BIVOLT, LUZ BRANCA, 10 W</t>
  </si>
  <si>
    <t>LUMINARIA LED REFLETOR RETANGULAR BIVOLT, LUZ BRANCA, 30 W</t>
  </si>
  <si>
    <t>LUMINARIA LED REFLETOR RETANGULAR BIVOLT, LUZ BRANCA, 50 W</t>
  </si>
  <si>
    <t>LUMINARIA PLAFON REDONDO COM VIDRO FOSCO DIAMETRO *25* CM, PARA 1 LAMPADA, BASE E27, POTENCIA MAXIMA 40/60 W (NAO INCLUI LAMPADA)</t>
  </si>
  <si>
    <t>LUMINARIA PLAFON REDONDO COM VIDRO FOSCO DIAMETRO *30* CM, PARA 2 LAMPADAS, BASE E27, POTENCIA MAXIMA 40/60 W (NAO INCLUI LAMPADAS)</t>
  </si>
  <si>
    <t>LUMINARIA SPOT DE SOBREPOR EM ALUMINIO COM ALETA PLASTICA PARA 1 LAMPADA, BASE E27, POTENCIA MAXIMA 40/60 W (NAO INCLUI LAMPADA)</t>
  </si>
  <si>
    <t>LUMINARIA SPOT DE SOBREPOR EM ALUMINIO COM ALETA PLASTICA PARA 2 LAMPADAS, BASE E27, POTENCIA MAXIMA 40/60 W (NAO INCLUI LAMPADA)</t>
  </si>
  <si>
    <t>LUMINARIA TIPO TARTARUGA PARA AREA EXTERNA EM ALUMINIO, COM GRADE, PARA 1 LAMPADA, BASE E27, POTENCIA MAXIMA 40/60 W (NAO INCLUI LAMPADA)</t>
  </si>
  <si>
    <t>LUVA EM PVC RIGIDO ROSCAVEL, DE 1 1/2", PARA ELETRODUTO</t>
  </si>
  <si>
    <t xml:space="preserve">	LUVA EM PVC RIGIDO ROSCAVEL, DE 1 1/4", PARA ELETRODUTO</t>
  </si>
  <si>
    <t xml:space="preserve">	LUVA EM PVC RIGIDO ROSCAVEL, DE 3/4", PARA ELETRODUTO</t>
  </si>
  <si>
    <t xml:space="preserve">	LUVA EM PVC RIGIDO ROSCAVEL, DE 1", PARA ELETRODUTO</t>
  </si>
  <si>
    <t xml:space="preserve">	LUVA EM PVC RIGIDO ROSCAVEL, DE 2", PARA ELETRODUTO	</t>
  </si>
  <si>
    <t xml:space="preserve">	QUADRO DE DISTRIBUICAO COM BARRAMENTO TRIFASICO, DE EMBUTIR, EM CHAPA DE ACO GALVANIZADO, PARA 18 DISJUNTORES DIN, 100 A, INCLUINDO BARRAMENTO</t>
  </si>
  <si>
    <t xml:space="preserve">QUADRO DE DISTRIBUICAO COM BARRAMENTO TRIFASICO, DE EMBUTIR, EM CHAPA DE ACO GALVANIZADO, PARA 24 DISJUNTORES DIN, 100 A	</t>
  </si>
  <si>
    <t xml:space="preserve">QUADRO DE DISTRIBUICAO COM BARRAMENTO TRIFASICO, DE EMBUTIR, EM CHAPA DE ACO GALVANIZADO, PARA 28 DISJUNTORES DIN, 100 A	</t>
  </si>
  <si>
    <t xml:space="preserve">QUADRO DE DISTRIBUICAO, EM PVC, DE EMBUTIR, COM BARRAMENTO TERRA / NEUTRO, PARA 12 DISJUNTORES NEMA OU 16 DISJUNTORES DIN	</t>
  </si>
  <si>
    <t xml:space="preserve">	QUADRO DE DISTRIBUICAO, EM PVC, DE EMBUTIR, COM BARRAMENTO TERRA / NEUTRO, PARA 18 DISJUNTORES NEMA OU 24 DISJUNTORES DIN	</t>
  </si>
  <si>
    <t xml:space="preserve">	QUADRO DE DISTRIBUICAO, EM PVC, DE EMBUTIR, COM BARRAMENTO TERRA / NEUTRO, PARA 27 DISJUNTORES NEMA OU 36 DISJUNTORES DIN</t>
  </si>
  <si>
    <t>QUADRO DE DISTRIBUICAO, EM PVC, DE EMBUTIR, COM BARRAMENTO TERRA / NEUTRO, PARA 48 DISJUNTORES DIN</t>
  </si>
  <si>
    <t>TOMADA 2P+T 10A, 250V, CONJUNTO MONTADO PARA EMBUTIR 4" X 2" (PLACA + SUPORTE + MODULO)</t>
  </si>
  <si>
    <t>TOMADA 2P+T 10A, 250V, CONJUNTO MONTADO PARA SOBREPOR 4" X 2" (CAIXA + MODULO)</t>
  </si>
  <si>
    <t>TOMADA 2P+T 20A 250V, CONJUNTO MONTADO PARA EMBUTIR 4" X 2" (PLACA + SUPORTE + MODULO)</t>
  </si>
  <si>
    <t>VALOR TOTAL ESTIMADO(C)</t>
  </si>
  <si>
    <t>D - MATERIAIS DE MECÂNICA</t>
  </si>
  <si>
    <t xml:space="preserve">Código </t>
  </si>
  <si>
    <t>ACETILENO (RECARGA PARA CILINDRO DE CONJUNTO OXICORTE GRANDE)</t>
  </si>
  <si>
    <t>ARRUELA LISA, REDONDA, DE LATAO POLIDO, DIAMETRO NOMINAL 5/8", DIAMETRO EXTERNO = 34 MM, DIAMETRO DO FURO = 17 MM, ESPESSURA = *2,5* MM</t>
  </si>
  <si>
    <t>ARRUELA EM ALUMINIO, COM ROSCA, DE 1/2", PARA ELETRODUTO</t>
  </si>
  <si>
    <t xml:space="preserve"> ORSE</t>
  </si>
  <si>
    <t>Barra roscada zincada ø 1/4" Barra roscada zincada ø 1/4"</t>
  </si>
  <si>
    <t>Barra roscada zincada ø 3/8" Barra roscada zincada ø 3/8"</t>
  </si>
  <si>
    <t>Barra roscada zincada ø 5/16" Barra roscada zincada ø 5/16"</t>
  </si>
  <si>
    <t>CANTONEIRA FERRO GALVANIZADO DE ABAS IGUAIS, 1 1/2" X 1/4" (L X E), 3,40 KG/M</t>
  </si>
  <si>
    <t xml:space="preserve"> SEDOP</t>
  </si>
  <si>
    <t>E00449</t>
  </si>
  <si>
    <t>Capacitor 10 Microfarad 250V</t>
  </si>
  <si>
    <t>E00450</t>
  </si>
  <si>
    <t>Capacitor 20 Microfarad 250V</t>
  </si>
  <si>
    <t xml:space="preserve"> CPOS</t>
  </si>
  <si>
    <t>P.17.000.030701</t>
  </si>
  <si>
    <t>Chave de fluxo para ar</t>
  </si>
  <si>
    <t>O.04.000.064164</t>
  </si>
  <si>
    <t>Chave de fluxo tipo palheta, para líquidos, com conexão tipo macho diâmetro 1´, ref. AT2011 da Contech ou equivalente</t>
  </si>
  <si>
    <t>MÉDIA PESQUISA DE PREÇO</t>
  </si>
  <si>
    <t>N/A</t>
  </si>
  <si>
    <t>Compressor para split 12.000 Btu's</t>
  </si>
  <si>
    <t>Compressor para split 18.000 Btu's</t>
  </si>
  <si>
    <t>Compressor para split 24.000 Btu's</t>
  </si>
  <si>
    <t>Compressor para split 36.000 Btu's</t>
  </si>
  <si>
    <t>Compressor para split 60.000 Btu</t>
  </si>
  <si>
    <t>Compressor para split 9.000 Btu's</t>
  </si>
  <si>
    <t>MÉDIA PESQUISA DE MERCADO</t>
  </si>
  <si>
    <t>Correia A-24</t>
  </si>
  <si>
    <t>Correia A-27</t>
  </si>
  <si>
    <t>Correia A-29</t>
  </si>
  <si>
    <t>Correia A-32</t>
  </si>
  <si>
    <t>Correia A-37</t>
  </si>
  <si>
    <t>Correia AX29</t>
  </si>
  <si>
    <t>Correia B-32</t>
  </si>
  <si>
    <t>Correia B-42</t>
  </si>
  <si>
    <t>Correia B-52</t>
  </si>
  <si>
    <t>Correia B-64</t>
  </si>
  <si>
    <t>Correia B-67</t>
  </si>
  <si>
    <t>MÉDIA OUTROS PREGÕES</t>
  </si>
  <si>
    <t>Detergente limpa metal tipo Thilex, Solupan, Metasil ou similar (5 litros)</t>
  </si>
  <si>
    <t xml:space="preserve"> SETOP</t>
  </si>
  <si>
    <t>MATED-12968</t>
  </si>
  <si>
    <t>FILTRO TIPO "Y" (MATERIAL: BRONZE|ROSCA: NPT [CÔNICA]|DIÂMETRO: 1.1/2"|CLASSE: PN20)</t>
  </si>
  <si>
    <t>MATED-12969</t>
  </si>
  <si>
    <t>FILTRO TIPO "Y" (MATERIAL: BRONZE|ROSCA: NPT [CÔNICA]|DIÂMETRO: 1.1/4"|CLASSE: PN20)</t>
  </si>
  <si>
    <t>MATED-12970</t>
  </si>
  <si>
    <t xml:space="preserve">	FILTRO TIPO "Y" (MATERIAL: BRONZE|ROSCA: NPT [CÔNICA]|DIÂMETRO: 1"|CLASSE: PN20)</t>
  </si>
  <si>
    <t>FITA VEDA ROSCA EM ROLOS DE 18 MM X 50 M (L X C)</t>
  </si>
  <si>
    <t>Gás nitrogênio</t>
  </si>
  <si>
    <t>m³</t>
  </si>
  <si>
    <t>Gás R134a - 13,6kg</t>
  </si>
  <si>
    <t>Gás R22 - 13,6kg</t>
  </si>
  <si>
    <t>Gás R410A - 11,34kg</t>
  </si>
  <si>
    <t>JOELHO PVC,  SOLDAVEL COM ROSCA, 90 GRAUS, 25 MM X 3/4", PARA AGUA FRIA PREDIAL</t>
  </si>
  <si>
    <t>JOELHO PVC, ROSCAVEL, 90 GRAUS, 1", PARA AGUA FRIA PREDIAL</t>
  </si>
  <si>
    <t>LUVA DE FERRO GALVANIZADO, COM ROSCA BSP, DE 1/2"</t>
  </si>
  <si>
    <t>LUVA DE REDUCAO DE FERRO GALVANIZADO, COM ROSCA BSP MACHO/FEMEA, DE 3/4" X 1/2"</t>
  </si>
  <si>
    <t>LUVA DE REDUCAO DE FERRO GALVANIZADO, COM ROSCA BSP, DE 2" X 1"</t>
  </si>
  <si>
    <t>MANOMETRO COM CAIXA EM ACO PINTADO, ESCALA *10* KGF/CM2 (*10* BAR), DIAMETRO NOMINAL DE 100 MM, CONEXAO DE 1/2"</t>
  </si>
  <si>
    <t>Manta de borracha 3,2mm X 1m</t>
  </si>
  <si>
    <t>NIPLE DE FERRO GALVANIZADO, COM ROSCA BSP, DE 1/2"</t>
  </si>
  <si>
    <t>NIPLE DE FERRO GALVANIZADO, COM ROSCA BSP, DE 3/4"</t>
  </si>
  <si>
    <t xml:space="preserve">Óleo lubrificante para Compressor AW 150 </t>
  </si>
  <si>
    <t>Óleo lubrificante SAE 90</t>
  </si>
  <si>
    <t>OXIGENIO, RECARGA PARA CILINDRO DE CONJUNTO OXICORTE GRANDE</t>
  </si>
  <si>
    <t xml:space="preserve">M3    </t>
  </si>
  <si>
    <t>PARAFUSO ZINCADO, SEXTAVADO, COM ROSCA INTEIRA, DIAMETRO 5/8", COMPRIMENTO 2 1/4"</t>
  </si>
  <si>
    <t xml:space="preserve"> SBC</t>
  </si>
  <si>
    <t>PORCA ACO SEXTAVADA A325 1/4"</t>
  </si>
  <si>
    <t xml:space="preserve">PORCA ZINCADA, SEXTAVADA, DIAMETRO 3/8"	</t>
  </si>
  <si>
    <t>PORCA ZINCADA, SEXTAVADA, DIAMETRO 5/16"</t>
  </si>
  <si>
    <t>REGISTRO GAVETA BRUTO EM LATAO FORJADO, BITOLA 3/4 " (REF 1509)</t>
  </si>
  <si>
    <t>SOLDA EM VARETA FOSCOPER, D = *2,5* MM  X COMPRIMENTO 500 MM</t>
  </si>
  <si>
    <t>TE DE FERRO GALVANIZADO, DE 2"</t>
  </si>
  <si>
    <t>TUBO (CAPA/CALHA)ESPONJOSO POLIPLAST 3/8"</t>
  </si>
  <si>
    <t>TUBO DE COBRE FLEXIVEL, D = 1/2 ", E = 0,79 MM, PARA AR-CONDICIONADO/ INSTALACOES GAS RESIDENCIAIS E COMERCIAIS</t>
  </si>
  <si>
    <t>TUBO DE COBRE FLEXIVEL, D = 1/4 ", E = 0,79 MM, PARA AR-CONDICIONADO/ INSTALACOES GAS RESIDENCIAIS E COMERCIAIS</t>
  </si>
  <si>
    <t>TUBO DE COBRE FLEXIVEL, D = 3/4 ", E = 0,79 MM, PARA AR-CONDICIONADO/ INSTALACOES GAS RESIDENCIAIS E COMERCIAIS</t>
  </si>
  <si>
    <t>TUBO DE COBRE FLEXIVEL, D = 3/8 ", E = 0,79 MM, PARA AR-CONDICIONADO/ INSTALACOES GAS RESIDENCIAIS E COMERCIAIS</t>
  </si>
  <si>
    <t>TUBO DE COBRE FLEXIVEL, D = 5/8 ", E = 0,79 MM, PARA AR-CONDICIONADO/ INSTALACOES GAS RESIDENCIAIS E COMERCIAIS</t>
  </si>
  <si>
    <t>VALVULA DE ESFERA BRUTA EM BRONZE, BITOLA 1 " (REF 1552-B)</t>
  </si>
  <si>
    <t>VALVULA DE ESFERA BRUTA EM BRONZE, BITOLA 1 1/2 " (REF 1552-B)</t>
  </si>
  <si>
    <t>VALVULA DE ESFERA BRUTA EM BRONZE, BITOLA 2 " (REF 1552-B)</t>
  </si>
  <si>
    <t>VALVULA DE RETENCAO VERTICAL, DE BRONZE (PN-16), 1 1/2", 200 PSI, EXTREMIDADES COM ROSCA</t>
  </si>
  <si>
    <t>VASELINA PASTOSA LUBRIFICANTE EMBALAGEM 1.000g</t>
  </si>
  <si>
    <t>VALOR TOTAL ESTIMADO(D)</t>
  </si>
  <si>
    <t>QUADRO RESUMO DO VALOR ANUAL ESTIMADO COM MATERIAIS E PEÇAS</t>
  </si>
  <si>
    <t>VALOR MENSAL</t>
  </si>
  <si>
    <t>VALOR ANUAL</t>
  </si>
  <si>
    <t>D- MATERIAIS DE MECÂNICA</t>
  </si>
  <si>
    <t>VALOR TOTAL ESTIMADO</t>
  </si>
  <si>
    <t>Desonerado: SIM</t>
  </si>
  <si>
    <t>ANEXO IV - SERVIÇOS EVENTUAIS</t>
  </si>
  <si>
    <t>PLANILHA ESTIMATIVA DE CUSTOS SERVIÇOS EVENTUAIS - SOB DEMANDA - SR/PF/MT</t>
  </si>
  <si>
    <t>ESTIMATIVA ANUAL</t>
  </si>
  <si>
    <t>SINAPI</t>
  </si>
  <si>
    <t>CBO</t>
  </si>
  <si>
    <t>Categorias Profissionais e carga horária</t>
  </si>
  <si>
    <t>Und.</t>
  </si>
  <si>
    <t>Valor unitário da hora</t>
  </si>
  <si>
    <t xml:space="preserve">Qtde de horas estimadas </t>
  </si>
  <si>
    <t>Valor Anual Horário Normal</t>
  </si>
  <si>
    <t>Valor Adicional de 50%</t>
  </si>
  <si>
    <t>Valor Adicional de 100%</t>
  </si>
  <si>
    <t>Subtotal Anual (R$)</t>
  </si>
  <si>
    <t>(CBO 7152-10)</t>
  </si>
  <si>
    <t>Pedreiro (com encargos complementares)</t>
  </si>
  <si>
    <t>hora</t>
  </si>
  <si>
    <t>(CBO 7164-05)</t>
  </si>
  <si>
    <t>Gesseiro (com encargos complementares)</t>
  </si>
  <si>
    <t>(CBO 7163-05)</t>
  </si>
  <si>
    <t xml:space="preserve">Vidraceiro (com encargos complementares) </t>
  </si>
  <si>
    <t>(CBO 7166-10)</t>
  </si>
  <si>
    <t>Pintor (com encargos complementares)</t>
  </si>
  <si>
    <t>(CBO 7241-10)</t>
  </si>
  <si>
    <t xml:space="preserve">Encanador ou Bombeiro Hidráulico (com encargos complementares) </t>
  </si>
  <si>
    <t>(CBO 7711-05)</t>
  </si>
  <si>
    <t xml:space="preserve">Marceneiro (com encargos complementares) </t>
  </si>
  <si>
    <t>(CBO 7243-15)</t>
  </si>
  <si>
    <t xml:space="preserve">Soldador (com encargos complementares) </t>
  </si>
  <si>
    <t>(CBO 7244-40)</t>
  </si>
  <si>
    <t xml:space="preserve">Serralheiro (com encargos complementares) </t>
  </si>
  <si>
    <t>(CBO 7156-10)</t>
  </si>
  <si>
    <t>Eletricista (com encargos complementares)</t>
  </si>
  <si>
    <t>(CBO 3181-05)</t>
  </si>
  <si>
    <t>Desenhista projetista (com encargos complementares)</t>
  </si>
  <si>
    <t>(CBO 5143-25)</t>
  </si>
  <si>
    <t>Auxiliar de serviços gerais (com encargos complementares)</t>
  </si>
  <si>
    <t>(CBO 2141)</t>
  </si>
  <si>
    <t>Arquiteto de obra junior (com encargos complementares)</t>
  </si>
  <si>
    <t>VALOR ANUAL ESTIMADO DE SERVIÇOS EVENTUAIS S/BDI</t>
  </si>
  <si>
    <t>BDI</t>
  </si>
  <si>
    <t xml:space="preserve">VALOR TOTAL ANUAL C/BDI </t>
  </si>
  <si>
    <t xml:space="preserve">VALOR TOTAL MENSAL C/BDI </t>
  </si>
  <si>
    <t>OBS.: O valor unitário da hora da mão de obra eventual foi retirado do SINAPI (NÃO DESONERADO) acrescido dos ENCARGOS COMPLEMENTARES. Estima-se um quantitativo de 30% além das horas normais com adicional de 50% e um quantitativo de 15% além das horas normais com adicional de 100%.</t>
  </si>
  <si>
    <t>(CBO 7170-20)</t>
  </si>
  <si>
    <t>(CBO 7155-05)</t>
  </si>
  <si>
    <t>Ajudante de Pedreiro (com encargos complementares)</t>
  </si>
  <si>
    <t>Carpinteiro (com encargos complementares</t>
  </si>
  <si>
    <t>FERRAMENTAS DE USO GERAL</t>
  </si>
  <si>
    <t>conjunto de solda millennium oxi-acetileno</t>
  </si>
  <si>
    <t>Ultra máquinas</t>
  </si>
  <si>
    <t>Loja do Mecânico</t>
  </si>
  <si>
    <t>Comercial Eduar</t>
  </si>
  <si>
    <t>Aspirador de pó e água 1600wats 20ltiros GR inox 20 WAP ou similar</t>
  </si>
  <si>
    <t>Casas Bahia</t>
  </si>
  <si>
    <t>Pontofrio</t>
  </si>
  <si>
    <t>Canhão de espuma para Lava Jato</t>
  </si>
  <si>
    <t>Mercado Livre</t>
  </si>
  <si>
    <t>Wonder tools</t>
  </si>
  <si>
    <t xml:space="preserve">Capacímetro digital </t>
  </si>
  <si>
    <t>Magazine Luiza</t>
  </si>
  <si>
    <t>Frigelar</t>
  </si>
  <si>
    <t>Carrinho de Ferramentas, com 01 gaveta</t>
  </si>
  <si>
    <t>Dutra Máquinas</t>
  </si>
  <si>
    <t>Carrinho de Mão de Aço, com capacidade entre 50 e 60 Litros, Pneu com câmara</t>
  </si>
  <si>
    <t xml:space="preserve">Carrinho para carga dobrável, capacidade 300 kg, Pneu com câmara </t>
  </si>
  <si>
    <t>Cassol Centerlar</t>
  </si>
  <si>
    <t>Carrinho plataforma de madeira, capacidade 600 kg, Pneu com câmara</t>
  </si>
  <si>
    <t>Cinta com catraca e ganchos 38mm x 10 Metros</t>
  </si>
  <si>
    <t>Compressor de ar portátil de 50 litros, motor de 2,5 hp, com rodízio, 110v</t>
  </si>
  <si>
    <t xml:space="preserve"> Cones de sinalização, com faixas de cores laranja e branco; </t>
  </si>
  <si>
    <t>Conjunto Completo de Tarraxas para cano plástico N°2 (1/2”, 3/4" e 1”) (PVC)</t>
  </si>
  <si>
    <t>Conjunto de Bits profissional para Parafusadeira, com no mínimo 25 peças</t>
  </si>
  <si>
    <t>Conjunto de Talhadeira, Saca Pino Paralelo, Pulsão de Centro</t>
  </si>
  <si>
    <t xml:space="preserve"> Conjunto magnético de nível bolha, corpo em alumínio, mínimo de 400mm e 2 bolhas </t>
  </si>
  <si>
    <t xml:space="preserve"> Conjunto saca polias</t>
  </si>
  <si>
    <t>Cortador de tubo 1/8 x 1.1/4"</t>
  </si>
  <si>
    <t>Desentupidor sanitário (GRANDE)</t>
  </si>
  <si>
    <t xml:space="preserve">Enxada </t>
  </si>
  <si>
    <t xml:space="preserve">Escada Extensível, em Fibra de Vidro, com 24 degraus </t>
  </si>
  <si>
    <t xml:space="preserve"> Escada multifuncional em alumínio 16 degraus, 4x4, com 02 plataformas, MOR 5134 ou similiar</t>
  </si>
  <si>
    <t xml:space="preserve"> Escada, tamanho 13 degraus de alumínio </t>
  </si>
  <si>
    <t xml:space="preserve"> Esmerilhadeira angular elétrica, diâmetro de 7” (180mm), rotação de 8500 RPM, e potência de 2400w </t>
  </si>
  <si>
    <t xml:space="preserve"> Ferro de solda, com sugador</t>
  </si>
  <si>
    <t>Fio guia de fibra com 50m</t>
  </si>
  <si>
    <t>Furadeira de Bancada, com mandril de 1/2 POL e controle de altura</t>
  </si>
  <si>
    <t xml:space="preserve">Furadeira de impacto com maleta (ref Bosch 750W Mandril 1/2" GSB 13 RE - 127V) </t>
  </si>
  <si>
    <t>Brenfeer</t>
  </si>
  <si>
    <t>Shopee</t>
  </si>
  <si>
    <t>Madeiramadeira</t>
  </si>
  <si>
    <t>Dutra máquinas</t>
  </si>
  <si>
    <t>Casa do Frentista</t>
  </si>
  <si>
    <t>Turbo Fitness</t>
  </si>
  <si>
    <t>Veneza Material de Construção</t>
  </si>
  <si>
    <t>Casa Forte</t>
  </si>
  <si>
    <t>Amazon</t>
  </si>
  <si>
    <t>Ferramentas Kennedy</t>
  </si>
  <si>
    <t>Obramax</t>
  </si>
  <si>
    <t>Ronix Tools Brasiç</t>
  </si>
  <si>
    <t>Benterferramentas</t>
  </si>
  <si>
    <t>Palácio das ferramentas</t>
  </si>
  <si>
    <t>Eletrofrigor</t>
  </si>
  <si>
    <t>Pires Martins</t>
  </si>
  <si>
    <t>Casa do Mecânico</t>
  </si>
  <si>
    <t>FG - Ferramentas Gerais</t>
  </si>
  <si>
    <t>Leroy Merlin</t>
  </si>
  <si>
    <t>Corebral</t>
  </si>
  <si>
    <t>Delupo</t>
  </si>
  <si>
    <t>Atl Construção</t>
  </si>
  <si>
    <t xml:space="preserve">Gaveteiro organizador modulável com 16 gavetas, PVC </t>
  </si>
  <si>
    <t>Grampo de aperto rápido de 24”</t>
  </si>
  <si>
    <t xml:space="preserve">Grampo de aperto rápido de 6” </t>
  </si>
  <si>
    <t xml:space="preserve">Jogo de formão (1/4”, 1/2”, 3/4” e 1”) </t>
  </si>
  <si>
    <t xml:space="preserve"> Kit de Serra Copo, Aço Rápido (19, 22, 29, 35, 38, 44, 51, 57, 64, 75mm) </t>
  </si>
  <si>
    <t>Kit Parafusadeira e Furadeira Impacto à Bateria (Ion Lítio) de no mínimo 18v, carregador Bivolt, maleta com pelo menos 10 acessórios profissionais, bateria sobressalente.</t>
  </si>
  <si>
    <t>Lavadora de Alta Pressão WAP EXTREME TURBO 2800 Indução 1900W 2450 PSI/Libras 360L/h Profissional Semi Intensivo 127V</t>
  </si>
  <si>
    <t>Morsa Torno de Bancada 6 Pol. com Base Giratória</t>
  </si>
  <si>
    <t xml:space="preserve">Moto Esmeril de Bancada 6 Pol. 360W Bivolt </t>
  </si>
  <si>
    <t>Multímetro digital capacidade de medição: Tensão AC/CC: 600V, milivolts, continuidade, resistência, diodo, capacitância, corrente DC, frequência.</t>
  </si>
  <si>
    <t xml:space="preserve"> Nível Laser Bosch GCL 2-15 15m com pontos de prumo e suporte</t>
  </si>
  <si>
    <t xml:space="preserve">Pá com ponta redonda </t>
  </si>
  <si>
    <t>Pá com ponta reta</t>
  </si>
  <si>
    <t xml:space="preserve">Paquímetro analógico 0 - 150 mm/ 0 - 6" </t>
  </si>
  <si>
    <t xml:space="preserve">Pé de cabra de 24 polegadas, de aço </t>
  </si>
  <si>
    <t xml:space="preserve"> Pistola de Pintura HVLP com Tanque de plástico 600 ml - Corpo em alumínio com conector de engate rápido</t>
  </si>
  <si>
    <t>Pistola de silicone frio</t>
  </si>
  <si>
    <t>Pistola de silicone quente</t>
  </si>
  <si>
    <t xml:space="preserve">Plaina manual Tramontina ((C x L x A): 5.85 x 11.65 x 24.50 centímetros) ou similar </t>
  </si>
  <si>
    <t xml:space="preserve"> Prumo de metal </t>
  </si>
  <si>
    <t>Régua de Alumínio (2 x 1”), com 2m</t>
  </si>
  <si>
    <t xml:space="preserve">Serra Mármore, com no mínimo 1500w de potência </t>
  </si>
  <si>
    <t>Usinainfo</t>
  </si>
  <si>
    <t>Cia da montagem</t>
  </si>
  <si>
    <t>Palácio das Ferramentas</t>
  </si>
  <si>
    <t>Descubra Ferramentas</t>
  </si>
  <si>
    <t>TecnoFerramentas</t>
  </si>
  <si>
    <t>Casa hub</t>
  </si>
  <si>
    <t>Nova Mesa</t>
  </si>
  <si>
    <t>Brester</t>
  </si>
  <si>
    <t>Comercial Radioarte</t>
  </si>
  <si>
    <t>Aliexpress</t>
  </si>
  <si>
    <t>Lojas 2001</t>
  </si>
  <si>
    <t>Lojas Americanas</t>
  </si>
  <si>
    <t>Armazem Coral Achaqui</t>
  </si>
  <si>
    <t>Philco</t>
  </si>
  <si>
    <t xml:space="preserve">Serra Tico-Tico 710W, 127V </t>
  </si>
  <si>
    <t xml:space="preserve">Soprador Térmico Profissional, com no mínimo 1500w de potência </t>
  </si>
  <si>
    <t>Talhadeira com empunhadura – 300 a 350mm</t>
  </si>
  <si>
    <t>Testador de cabo RJ45 e RJ11 - multifunção</t>
  </si>
  <si>
    <t>Trena Laser com capacidade de medição mínima para 50 m</t>
  </si>
  <si>
    <t>Ventosas</t>
  </si>
  <si>
    <t>Minas Ferramentas</t>
  </si>
  <si>
    <t>Anhanguera Ferramentas</t>
  </si>
  <si>
    <t>Luitex Ferramentas</t>
  </si>
  <si>
    <t>Kabum</t>
  </si>
  <si>
    <t>Artesana Divisórias e Forros</t>
  </si>
  <si>
    <t>A casa dos Macacos</t>
  </si>
  <si>
    <t>Alfa Store</t>
  </si>
  <si>
    <t>Depreciação (gasto mensal) - 5 anos</t>
  </si>
  <si>
    <t>Total Ferramentas</t>
  </si>
  <si>
    <t>Alicate Amperímetro, Tensão de leitura de AC/CC: 1000V, Corrente de 20/200/1000A</t>
  </si>
  <si>
    <t xml:space="preserve">Alicate bico chato, cabo isolado 6, 1000V </t>
  </si>
  <si>
    <t>Alicate de Bico Meia Cana Longo Curvo, 8", VDE, com isolamento (AC 1000)</t>
  </si>
  <si>
    <t>Alicate de Bico Meia Cana Longo Reto, 7.1/2, VDE, com isolamento (AC 1000) BELZER ou similar</t>
  </si>
  <si>
    <t xml:space="preserve">Alicate de corte diagonal 6.1/2”, com isolamento (AC 1000) </t>
  </si>
  <si>
    <t xml:space="preserve">Alicate de Eletricista Descascador de Fios Auto Ajustável (IRWIN ou similar) </t>
  </si>
  <si>
    <t>Alicate bico chato com cabo isolado 100O V, NR 10, CRV 6"</t>
  </si>
  <si>
    <t xml:space="preserve">Alicate prensa terminal para cabo 1,5mm² a 16mm² </t>
  </si>
  <si>
    <t>Alicate Universal de 8”, com cabo isolado (AC 1000V)</t>
  </si>
  <si>
    <t>Alicate Rebitador Tipo Alavanca</t>
  </si>
  <si>
    <t>Caixa de Ferramentas de aço com 7 Gavetas</t>
  </si>
  <si>
    <t xml:space="preserve">Jogo de chaves para eletricista, isoladas, VDE, com 7 peças, Fenda e Philips. </t>
  </si>
  <si>
    <t>Chave teste</t>
  </si>
  <si>
    <t>Cinto para ferramentas, com no mínimo 7 bolsos</t>
  </si>
  <si>
    <t>Kit Parafusadeira e Furadeira Impacto à Bateria (Ion Lítio) de no mínimo 20v, carregador Bivolt</t>
  </si>
  <si>
    <t>Jogo de chave Allen, milímetro 1,5 a 10mm</t>
  </si>
  <si>
    <t>Jogo de chave de combinada, 6 a 22mm</t>
  </si>
  <si>
    <t>Jogo de chave de estrela, 6 a 22mm</t>
  </si>
  <si>
    <t>Jogo de chave soquete, 24 peças c/ catraca 1/2", completo (08 a 32 mm)</t>
  </si>
  <si>
    <t xml:space="preserve">Conjunto de Chaves “Torx” de (T10 a T50) </t>
  </si>
  <si>
    <t>Lanterna Led a Bateria 18V</t>
  </si>
  <si>
    <t>Nível de alumínio com perfil I, com 3 bolhas, mínimo de 100 Mm</t>
  </si>
  <si>
    <t xml:space="preserve">Rebitador manual profissional 10" </t>
  </si>
  <si>
    <t>Prancheta de acrílico</t>
  </si>
  <si>
    <t xml:space="preserve">Talhadeira redonda manual de 3/4 x 12" </t>
  </si>
  <si>
    <t xml:space="preserve">Trena profissional de 10m </t>
  </si>
  <si>
    <t>Proesi Componente Eletrônicos</t>
  </si>
  <si>
    <t>Eletricario</t>
  </si>
  <si>
    <t>getrotech</t>
  </si>
  <si>
    <t>Tendy Mais</t>
  </si>
  <si>
    <t>Gfel store</t>
  </si>
  <si>
    <t>Unicaserv</t>
  </si>
  <si>
    <t>Casa Simões Borrachas e Ferramentas</t>
  </si>
  <si>
    <t>Clima Solis</t>
  </si>
  <si>
    <t>Brasiltec</t>
  </si>
  <si>
    <t>Dd Máquinas</t>
  </si>
  <si>
    <t>Agrometal</t>
  </si>
  <si>
    <t>Danpler Máquinas</t>
  </si>
  <si>
    <t>Hidráulica Ipiranga</t>
  </si>
  <si>
    <t>Arican Equipamentos</t>
  </si>
  <si>
    <t>Loja Bibelo</t>
  </si>
  <si>
    <t>MadeiraMadeira</t>
  </si>
  <si>
    <t>Matergi Materiais de Construção</t>
  </si>
  <si>
    <t>Super Pro Atacado</t>
  </si>
  <si>
    <t>Parafer Comercial LTDA</t>
  </si>
  <si>
    <t>Conibase Home Center</t>
  </si>
  <si>
    <t>Daiso</t>
  </si>
  <si>
    <t>Mardegan Madeira e Construção</t>
  </si>
  <si>
    <t>Valor por Posto (3)</t>
  </si>
  <si>
    <t xml:space="preserve"> Gratificação por  Assiduidade</t>
  </si>
  <si>
    <t>Valor Unitário da Hora</t>
  </si>
  <si>
    <t xml:space="preserve">Quantidade de horas estimadas por mês </t>
  </si>
  <si>
    <t>Quantid. Horas estimada por mês c/ACRESCIMO 15%</t>
  </si>
  <si>
    <t>Quantidade de Horas estimadas ANUAL</t>
  </si>
  <si>
    <t>Valor Mensal Horário Normal</t>
  </si>
  <si>
    <t>Valor Mensal da hora com adicional de 50%</t>
  </si>
  <si>
    <t>Valor Mensal da hora com adicional de 100%</t>
  </si>
  <si>
    <t>Subtotal (R$)</t>
  </si>
  <si>
    <t>Supervisão Técnica</t>
  </si>
  <si>
    <t>Mecânico de Refrigeração</t>
  </si>
  <si>
    <t>Oficial de Manutenção Predial</t>
  </si>
  <si>
    <t>Eletricista</t>
  </si>
  <si>
    <t>Auxiliar de Manutenção</t>
  </si>
  <si>
    <t>VALOR ANUAL ESTIMADO DE HORAS EXTRAS COM BDI</t>
  </si>
  <si>
    <t>* Estima-se que 70% das horas extras sejam praticadas em dias da semana ou sábados (adicional de 50%) e 30% das horas extras nos domingos e feriados (adicional de 100%)</t>
  </si>
  <si>
    <t>Valor do Empregado por hora</t>
  </si>
  <si>
    <t>% FGTS sobre API = API × 0,08 × 100</t>
  </si>
  <si>
    <t>%Submódulo 2.2 × % Aviso Prévio Trabalhado</t>
  </si>
  <si>
    <t>% Submódulo 2.2 × % Aviso Prévio Trabalhado</t>
  </si>
  <si>
    <t>VALOR MENSAL ESTIMADO DE HORAS EXTRAS COM BDI NÃO DESONERADO</t>
  </si>
  <si>
    <t>VALOR MENSAL ESTIMADO DE HORAS EXTRAS COM BDI DESONERADO</t>
  </si>
  <si>
    <t>ANEXO VI - SERVIÇOS ESPECIALIZADOS</t>
  </si>
  <si>
    <t>PLANILHA ESTIMATIVA DE CUSTOS SERVIÇOS ESPECIALIZADOS - CONTÍNUOS - SR/PF/MT</t>
  </si>
  <si>
    <t xml:space="preserve">ESTIMATIVA MENSAL/ANUAL, CONTRATADO </t>
  </si>
  <si>
    <t>SERVIÇOS CONTÍNUOS</t>
  </si>
  <si>
    <t>Unidade</t>
  </si>
  <si>
    <t>Qtde.</t>
  </si>
  <si>
    <t>Valor médio Unitário</t>
  </si>
  <si>
    <t xml:space="preserve">Análise físico químico da Água Gelada (Chiller) </t>
  </si>
  <si>
    <t>Mensal</t>
  </si>
  <si>
    <t>Manutenção do Fabricante ou empresa credenciada pelo fabricante dos chillers e automação (RTDW 195)</t>
  </si>
  <si>
    <t>16.</t>
  </si>
  <si>
    <t>Manutenção Preventiva do Grupo Motor Gerador (SR) C400D6</t>
  </si>
  <si>
    <t>Semestral</t>
  </si>
  <si>
    <t>Manutenção Preventiva do Grupo Motor Gerador (SR) C300D6</t>
  </si>
  <si>
    <t>VALOR ANUAL ESTIMADO DE SERVIÇOS ESPECIALIZADOS</t>
  </si>
  <si>
    <t>Manutenção Preventiva do Grupo Motor Gerador (Cáceres) C135D6</t>
  </si>
  <si>
    <t>BDI NÃO DESONERADO</t>
  </si>
  <si>
    <t>VALOR TOTAL ANUAL C/BDI NÃO DESONERADO</t>
  </si>
  <si>
    <t>BDI DESONERADO</t>
  </si>
  <si>
    <t>VALOR TOTAL ANUAL C/BDI DESONERADO</t>
  </si>
  <si>
    <t>ENGENHEIROS</t>
  </si>
  <si>
    <t>OFICIAL CUIABÁ</t>
  </si>
  <si>
    <t>MECÂNICO EM REFRIGERAÇÃO</t>
  </si>
  <si>
    <t>HORAS EXTRAS</t>
  </si>
  <si>
    <t>CUSTO TOTAL</t>
  </si>
  <si>
    <t>RESUMO DA MÃO DE OBRA FIXA - BDI NÃO DESONERADO</t>
  </si>
  <si>
    <t>OFICIAL BARRA DO GARÇAS</t>
  </si>
  <si>
    <t>OFICIAL CÁCERES</t>
  </si>
  <si>
    <t>OFICIAL SINOP</t>
  </si>
  <si>
    <t>OFICIAL RONDONÓPOLIS</t>
  </si>
  <si>
    <t>Valor por Posto (10)</t>
  </si>
  <si>
    <t>DESCRIÇÃO/ESPECIFICAÇÃO</t>
  </si>
  <si>
    <t>VALOR MÁXIMO MENSAL (TOTAL)</t>
  </si>
  <si>
    <t>VALOR MÁXIMO ANUAL (TOTAL)</t>
  </si>
  <si>
    <t>Equipe Residente (serviços
contínuos, incluindo horas
extras)</t>
  </si>
  <si>
    <t>Materiais e Peças</t>
  </si>
  <si>
    <t>Seviços Eventuais</t>
  </si>
  <si>
    <t>Serviços Especializados</t>
  </si>
  <si>
    <t>RESUMO - BDI NÃO DESONERADO</t>
  </si>
  <si>
    <t>Valor Global</t>
  </si>
  <si>
    <t>RESUMO - BDI DESONERADO</t>
  </si>
  <si>
    <t>RESUMO DA MÃO DE OBRA FIXA - BDI DESONERADO</t>
  </si>
  <si>
    <t>Manutenção Preventiva do Grupo Motor Gerador (Rondonópolis) LGD125</t>
  </si>
  <si>
    <t>TÉCNICO EM EDIFICAÇÕES</t>
  </si>
  <si>
    <t>ANEXO H - TÉCNICO EM EDIFICAÇÕES</t>
  </si>
  <si>
    <t>CBO 3121-05</t>
  </si>
  <si>
    <r>
      <t xml:space="preserve">Município Aplicável: </t>
    </r>
    <r>
      <rPr>
        <b/>
        <sz val="11"/>
        <color theme="1"/>
        <rFont val="Calibri"/>
        <family val="2"/>
        <scheme val="minor"/>
      </rPr>
      <t>CUIABÁ/MT, RONDONÓPOLIS/MT, CÁCERES/MT, BARRA DO GARÇAS/MT 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PONTES E LACERDA/MT</t>
    </r>
  </si>
  <si>
    <r>
      <t xml:space="preserve">Município Aplicável: </t>
    </r>
    <r>
      <rPr>
        <b/>
        <sz val="11"/>
        <color theme="1"/>
        <rFont val="Calibri"/>
        <family val="2"/>
        <scheme val="minor"/>
      </rPr>
      <t>CUIABÁ/MT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RONDONÓPOLIS/MT, CÁCERES/MT, BARRA DO GARÇAS/MT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PONTES E LACERDA/MT</t>
    </r>
  </si>
  <si>
    <r>
      <t xml:space="preserve">Município Aplicável:  </t>
    </r>
    <r>
      <rPr>
        <b/>
        <sz val="11"/>
        <color theme="1"/>
        <rFont val="Calibri"/>
        <family val="2"/>
        <scheme val="minor"/>
      </rPr>
      <t>CUIABÁ/MT, RONDONÓPOLIS/MT, CÁCERES/MT, SINOP/MT,  BARRA DO GARÇAS/MT E PONTES E LACERDA/MT</t>
    </r>
  </si>
  <si>
    <r>
      <t xml:space="preserve">Município Aplicável:  </t>
    </r>
    <r>
      <rPr>
        <b/>
        <sz val="11"/>
        <color theme="1"/>
        <rFont val="Calibri"/>
        <family val="2"/>
        <scheme val="minor"/>
      </rPr>
      <t>CUIABÁ/MT, RONDONÓPOLIS/MT, CÁCERES/MT, SINOP/MT,  BARRA DO GARÇAS/MT e PONTES E LACERDA/MT</t>
    </r>
  </si>
  <si>
    <t>Técnico em edificações</t>
  </si>
  <si>
    <t>Técnico em Edificações</t>
  </si>
  <si>
    <t>FERRAMENTAS ELETRICISTA/TÉCNICO EM EDIFICAÇÕES/MECÂNICO DE REFRIGERAÇÃO</t>
  </si>
  <si>
    <t>Salário Normativo da Categoria Profissional (CCT/2025-SEEAC/MT - 10 Faixa Salarial)</t>
  </si>
  <si>
    <t xml:space="preserve"> Gratificação por Assiduidade (CCT/2025-SEEAC/MT - 10 Faixa Salarial)</t>
  </si>
  <si>
    <t>não compensa</t>
  </si>
  <si>
    <t>Auxílio-Refeição/Alimentação (Cláusula 15ª SEEAC/MT/2025) 5%</t>
  </si>
  <si>
    <t>PRÊMIO ASSIDUIDADE (Cláusula 9ª SEEAC/MT/2025)</t>
  </si>
  <si>
    <t>PCMSO (Cláusula 53ª SEEAC/MT/2025)</t>
  </si>
  <si>
    <t>ISS - 3,00%</t>
  </si>
  <si>
    <t>Transporte - R$ 3,50</t>
  </si>
  <si>
    <t>Cáceres - MT</t>
  </si>
  <si>
    <t>Transporte - R$ 0,00</t>
  </si>
  <si>
    <t>Transporte - R$ 4,10</t>
  </si>
  <si>
    <t>8,5 Sal. Mínimo</t>
  </si>
  <si>
    <t>Salário Normativo da Categoria Profissional (CCT/2025-SEEAC/MT - FAIXA ESPECIAL VIII)</t>
  </si>
  <si>
    <t xml:space="preserve"> Gratificação por  (CCT/2025-SEEAC/MT - Faixa Especial IV)</t>
  </si>
  <si>
    <t>Adicional de periculosidade (CCT/2025-SEEAC/MT - Faixa Especial IV)</t>
  </si>
  <si>
    <t>Salário Normativo da Categoria Profissional (CCT/2025-SEEAC/MT - FAIXA ESPECIAL IV)</t>
  </si>
  <si>
    <t>Salário Normativo da Categoria Profissional (CCT/2025-SEEAC/MT - FAIXA ESPECIAL VI)</t>
  </si>
  <si>
    <t>05 ANOS DE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</si>
</sst>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_(&quot;R$ &quot;* #,##0.00_);_(&quot;R$ &quot;* \(#,##0.00\);_(&quot;R$ &quot;* &quot;-&quot;??_);_(@_)"/>
    <numFmt numFmtId="167" formatCode="&quot;R$&quot;\ #,##0.00"/>
    <numFmt numFmtId="168" formatCode="#,##0_ ;[Red]\-#,##0\ "/>
    <numFmt numFmtId="169" formatCode="_(* #,##0.00_);_(* \(#,##0.00\);_(* \-??_);_(@_)"/>
    <numFmt numFmtId="170" formatCode="0.000%"/>
    <numFmt numFmtId="171" formatCode="&quot;R$&quot;#,##0.00"/>
    <numFmt numFmtId="172" formatCode="#,##0.00_);\(#,##0.00\)"/>
    <numFmt numFmtId="173" formatCode="#,##0.0"/>
    <numFmt numFmtId="174" formatCode="#,##0.0_);\(#,##0.0\)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indexed="8"/>
      <name val="Calibri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b/>
      <sz val="1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11"/>
      <color rgb="FF000000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0"/>
      <color indexed="18"/>
      <name val="Arial"/>
      <family val="2"/>
    </font>
    <font>
      <b/>
      <sz val="11"/>
      <name val="Arial"/>
      <family val="2"/>
    </font>
    <font>
      <sz val="10"/>
      <color rgb="FFFF0000"/>
      <name val="Times New Roman"/>
      <family val="1"/>
    </font>
    <font>
      <b/>
      <sz val="11"/>
      <color rgb="FF0000FF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22"/>
      </patternFill>
    </fill>
    <fill>
      <patternFill patternType="solid">
        <fgColor theme="0" tint="-0.249977111117893"/>
        <bgColor indexed="31"/>
      </patternFill>
    </fill>
    <fill>
      <patternFill patternType="solid">
        <fgColor indexed="23"/>
        <bgColor indexed="22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2" tint="-0.249977111117893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9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/>
    <xf numFmtId="166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8" fillId="0" borderId="0"/>
    <xf numFmtId="2" fontId="17" fillId="0" borderId="0"/>
    <xf numFmtId="0" fontId="1" fillId="0" borderId="0"/>
    <xf numFmtId="44" fontId="1" fillId="0" borderId="0" applyFont="0" applyFill="0" applyBorder="0" applyAlignment="0" applyProtection="0"/>
    <xf numFmtId="0" fontId="28" fillId="0" borderId="0"/>
    <xf numFmtId="4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9" fontId="1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43" fontId="1" fillId="0" borderId="0" applyFont="0" applyFill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169" fontId="17" fillId="0" borderId="0" applyFill="0" applyBorder="0" applyAlignment="0" applyProtection="0"/>
    <xf numFmtId="0" fontId="36" fillId="0" borderId="0"/>
    <xf numFmtId="44" fontId="1" fillId="0" borderId="0" applyFont="0" applyFill="0" applyBorder="0" applyAlignment="0" applyProtection="0"/>
    <xf numFmtId="0" fontId="42" fillId="0" borderId="0"/>
  </cellStyleXfs>
  <cellXfs count="346">
    <xf numFmtId="0" fontId="0" fillId="0" borderId="0" xfId="0"/>
    <xf numFmtId="0" fontId="0" fillId="34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10" fontId="0" fillId="0" borderId="10" xfId="0" applyNumberFormat="1" applyBorder="1" applyAlignment="1">
      <alignment horizontal="center"/>
    </xf>
    <xf numFmtId="0" fontId="0" fillId="0" borderId="10" xfId="0" applyBorder="1"/>
    <xf numFmtId="10" fontId="15" fillId="36" borderId="10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1" fillId="37" borderId="10" xfId="0" applyFont="1" applyFill="1" applyBorder="1" applyAlignment="1">
      <alignment horizontal="center" vertical="center"/>
    </xf>
    <xf numFmtId="43" fontId="25" fillId="0" borderId="10" xfId="37" applyFont="1" applyBorder="1" applyAlignment="1">
      <alignment horizontal="right" vertical="center"/>
    </xf>
    <xf numFmtId="9" fontId="22" fillId="0" borderId="10" xfId="0" applyNumberFormat="1" applyFont="1" applyBorder="1" applyAlignment="1">
      <alignment horizontal="center" vertical="center"/>
    </xf>
    <xf numFmtId="43" fontId="22" fillId="0" borderId="10" xfId="37" applyFont="1" applyBorder="1" applyAlignment="1">
      <alignment horizontal="right" vertical="center"/>
    </xf>
    <xf numFmtId="43" fontId="22" fillId="0" borderId="10" xfId="37" applyFont="1" applyBorder="1" applyAlignment="1">
      <alignment vertical="center"/>
    </xf>
    <xf numFmtId="43" fontId="26" fillId="37" borderId="10" xfId="37" applyFont="1" applyFill="1" applyBorder="1" applyAlignment="1">
      <alignment vertical="center"/>
    </xf>
    <xf numFmtId="8" fontId="21" fillId="40" borderId="10" xfId="0" applyNumberFormat="1" applyFont="1" applyFill="1" applyBorder="1" applyAlignment="1">
      <alignment horizontal="center" vertical="center"/>
    </xf>
    <xf numFmtId="8" fontId="21" fillId="40" borderId="10" xfId="0" applyNumberFormat="1" applyFont="1" applyFill="1" applyBorder="1" applyAlignment="1">
      <alignment horizontal="left" vertical="center"/>
    </xf>
    <xf numFmtId="8" fontId="22" fillId="0" borderId="10" xfId="0" applyNumberFormat="1" applyFont="1" applyBorder="1" applyAlignment="1">
      <alignment horizontal="center" vertical="center"/>
    </xf>
    <xf numFmtId="8" fontId="22" fillId="0" borderId="10" xfId="0" applyNumberFormat="1" applyFont="1" applyBorder="1" applyAlignment="1">
      <alignment horizontal="left" vertical="center"/>
    </xf>
    <xf numFmtId="8" fontId="21" fillId="37" borderId="10" xfId="0" applyNumberFormat="1" applyFont="1" applyFill="1" applyBorder="1" applyAlignment="1">
      <alignment horizontal="center" vertical="center"/>
    </xf>
    <xf numFmtId="8" fontId="21" fillId="37" borderId="19" xfId="0" applyNumberFormat="1" applyFont="1" applyFill="1" applyBorder="1" applyAlignment="1">
      <alignment horizontal="left" vertical="center"/>
    </xf>
    <xf numFmtId="8" fontId="22" fillId="0" borderId="17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vertical="center" wrapText="1"/>
    </xf>
    <xf numFmtId="10" fontId="21" fillId="37" borderId="10" xfId="2" applyNumberFormat="1" applyFont="1" applyFill="1" applyBorder="1" applyAlignment="1">
      <alignment horizontal="center" vertical="center"/>
    </xf>
    <xf numFmtId="8" fontId="21" fillId="37" borderId="10" xfId="0" applyNumberFormat="1" applyFont="1" applyFill="1" applyBorder="1" applyAlignment="1">
      <alignment horizontal="left" vertical="center"/>
    </xf>
    <xf numFmtId="10" fontId="22" fillId="0" borderId="10" xfId="2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vertical="center" wrapText="1"/>
    </xf>
    <xf numFmtId="0" fontId="23" fillId="0" borderId="18" xfId="0" applyFont="1" applyBorder="1" applyAlignment="1">
      <alignment vertical="center" wrapText="1"/>
    </xf>
    <xf numFmtId="44" fontId="23" fillId="41" borderId="10" xfId="41" applyFont="1" applyFill="1" applyBorder="1" applyAlignment="1">
      <alignment horizontal="center"/>
    </xf>
    <xf numFmtId="0" fontId="23" fillId="41" borderId="10" xfId="0" applyFont="1" applyFill="1" applyBorder="1" applyAlignment="1">
      <alignment horizontal="center" vertical="justify"/>
    </xf>
    <xf numFmtId="14" fontId="18" fillId="38" borderId="10" xfId="0" applyNumberFormat="1" applyFont="1" applyFill="1" applyBorder="1" applyAlignment="1">
      <alignment horizontal="center" vertical="center"/>
    </xf>
    <xf numFmtId="168" fontId="23" fillId="0" borderId="10" xfId="0" applyNumberFormat="1" applyFont="1" applyBorder="1" applyAlignment="1">
      <alignment horizontal="center" vertical="center"/>
    </xf>
    <xf numFmtId="10" fontId="22" fillId="0" borderId="18" xfId="2" applyNumberFormat="1" applyFont="1" applyFill="1" applyBorder="1" applyAlignment="1">
      <alignment horizontal="center" vertical="center"/>
    </xf>
    <xf numFmtId="10" fontId="21" fillId="37" borderId="18" xfId="2" applyNumberFormat="1" applyFont="1" applyFill="1" applyBorder="1" applyAlignment="1">
      <alignment horizontal="center" vertical="center"/>
    </xf>
    <xf numFmtId="8" fontId="22" fillId="0" borderId="18" xfId="0" applyNumberFormat="1" applyFont="1" applyBorder="1" applyAlignment="1">
      <alignment horizontal="center" vertical="center"/>
    </xf>
    <xf numFmtId="8" fontId="18" fillId="0" borderId="10" xfId="0" applyNumberFormat="1" applyFont="1" applyBorder="1" applyAlignment="1">
      <alignment horizontal="center" vertical="center"/>
    </xf>
    <xf numFmtId="9" fontId="21" fillId="37" borderId="10" xfId="2" applyFont="1" applyFill="1" applyBorder="1" applyAlignment="1">
      <alignment horizontal="center" vertical="center"/>
    </xf>
    <xf numFmtId="8" fontId="21" fillId="37" borderId="17" xfId="0" applyNumberFormat="1" applyFont="1" applyFill="1" applyBorder="1" applyAlignment="1">
      <alignment vertical="center"/>
    </xf>
    <xf numFmtId="167" fontId="21" fillId="44" borderId="18" xfId="0" applyNumberFormat="1" applyFont="1" applyFill="1" applyBorder="1" applyAlignment="1">
      <alignment horizontal="center" vertical="center"/>
    </xf>
    <xf numFmtId="164" fontId="21" fillId="37" borderId="10" xfId="0" applyNumberFormat="1" applyFont="1" applyFill="1" applyBorder="1" applyAlignment="1">
      <alignment horizontal="center" vertical="center"/>
    </xf>
    <xf numFmtId="0" fontId="21" fillId="45" borderId="10" xfId="0" applyFont="1" applyFill="1" applyBorder="1" applyAlignment="1">
      <alignment horizontal="center" vertical="center"/>
    </xf>
    <xf numFmtId="170" fontId="22" fillId="0" borderId="10" xfId="2" applyNumberFormat="1" applyFont="1" applyFill="1" applyBorder="1" applyAlignment="1">
      <alignment horizontal="center" vertical="center"/>
    </xf>
    <xf numFmtId="0" fontId="22" fillId="42" borderId="11" xfId="0" applyFont="1" applyFill="1" applyBorder="1" applyAlignment="1">
      <alignment vertical="center" wrapText="1"/>
    </xf>
    <xf numFmtId="0" fontId="22" fillId="42" borderId="12" xfId="0" applyFont="1" applyFill="1" applyBorder="1" applyAlignment="1">
      <alignment vertical="center" wrapText="1"/>
    </xf>
    <xf numFmtId="44" fontId="25" fillId="0" borderId="10" xfId="1" applyFont="1" applyBorder="1" applyAlignment="1">
      <alignment horizontal="right" vertical="center"/>
    </xf>
    <xf numFmtId="44" fontId="33" fillId="0" borderId="10" xfId="1" applyFont="1" applyBorder="1" applyAlignment="1">
      <alignment vertical="center"/>
    </xf>
    <xf numFmtId="44" fontId="33" fillId="0" borderId="10" xfId="1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 wrapText="1"/>
    </xf>
    <xf numFmtId="44" fontId="32" fillId="0" borderId="10" xfId="1" applyFont="1" applyBorder="1" applyAlignment="1">
      <alignment horizontal="center" vertical="center"/>
    </xf>
    <xf numFmtId="170" fontId="22" fillId="0" borderId="18" xfId="2" applyNumberFormat="1" applyFont="1" applyFill="1" applyBorder="1" applyAlignment="1">
      <alignment horizontal="center" vertical="center"/>
    </xf>
    <xf numFmtId="44" fontId="22" fillId="0" borderId="10" xfId="1" applyFont="1" applyBorder="1" applyAlignment="1">
      <alignment vertical="center"/>
    </xf>
    <xf numFmtId="44" fontId="15" fillId="47" borderId="26" xfId="0" applyNumberFormat="1" applyFont="1" applyFill="1" applyBorder="1"/>
    <xf numFmtId="0" fontId="29" fillId="43" borderId="24" xfId="0" applyFont="1" applyFill="1" applyBorder="1" applyAlignment="1">
      <alignment horizontal="center" vertical="center"/>
    </xf>
    <xf numFmtId="0" fontId="29" fillId="43" borderId="24" xfId="0" applyFont="1" applyFill="1" applyBorder="1" applyAlignment="1">
      <alignment horizontal="center" vertical="center" wrapText="1"/>
    </xf>
    <xf numFmtId="0" fontId="29" fillId="43" borderId="29" xfId="0" applyFont="1" applyFill="1" applyBorder="1" applyAlignment="1">
      <alignment horizontal="center" vertical="center" wrapText="1"/>
    </xf>
    <xf numFmtId="0" fontId="32" fillId="43" borderId="10" xfId="0" applyFont="1" applyFill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vertical="center" wrapText="1"/>
    </xf>
    <xf numFmtId="44" fontId="0" fillId="0" borderId="17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29" fillId="0" borderId="10" xfId="0" applyFont="1" applyBorder="1" applyAlignment="1">
      <alignment horizontal="center" vertical="center" wrapText="1"/>
    </xf>
    <xf numFmtId="165" fontId="27" fillId="0" borderId="17" xfId="46" applyFont="1" applyFill="1" applyBorder="1" applyAlignment="1" applyProtection="1">
      <alignment horizontal="center" vertical="center" wrapText="1"/>
    </xf>
    <xf numFmtId="0" fontId="33" fillId="41" borderId="10" xfId="0" applyFont="1" applyFill="1" applyBorder="1"/>
    <xf numFmtId="0" fontId="32" fillId="41" borderId="10" xfId="0" applyFont="1" applyFill="1" applyBorder="1" applyAlignment="1">
      <alignment horizontal="center"/>
    </xf>
    <xf numFmtId="0" fontId="33" fillId="0" borderId="0" xfId="0" applyFont="1" applyAlignment="1">
      <alignment horizontal="center" vertical="center"/>
    </xf>
    <xf numFmtId="4" fontId="33" fillId="0" borderId="0" xfId="0" applyNumberFormat="1" applyFont="1" applyAlignment="1">
      <alignment horizontal="center" vertical="center"/>
    </xf>
    <xf numFmtId="4" fontId="32" fillId="0" borderId="0" xfId="0" applyNumberFormat="1" applyFont="1" applyAlignment="1">
      <alignment horizontal="center" vertical="center"/>
    </xf>
    <xf numFmtId="44" fontId="15" fillId="0" borderId="10" xfId="0" applyNumberFormat="1" applyFont="1" applyBorder="1"/>
    <xf numFmtId="0" fontId="33" fillId="0" borderId="10" xfId="0" applyFont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29" fillId="0" borderId="24" xfId="81" applyFont="1" applyBorder="1" applyAlignment="1">
      <alignment horizontal="center" vertical="center" wrapText="1"/>
    </xf>
    <xf numFmtId="0" fontId="29" fillId="0" borderId="34" xfId="81" applyFont="1" applyBorder="1" applyAlignment="1">
      <alignment horizontal="center" vertical="center" wrapText="1"/>
    </xf>
    <xf numFmtId="0" fontId="29" fillId="0" borderId="33" xfId="81" applyFont="1" applyBorder="1" applyAlignment="1">
      <alignment horizontal="center" vertical="center" wrapText="1"/>
    </xf>
    <xf numFmtId="169" fontId="29" fillId="0" borderId="24" xfId="82" applyFont="1" applyFill="1" applyBorder="1" applyAlignment="1">
      <alignment horizontal="center" vertical="center"/>
    </xf>
    <xf numFmtId="169" fontId="29" fillId="0" borderId="24" xfId="82" applyFont="1" applyFill="1" applyBorder="1" applyAlignment="1">
      <alignment horizontal="center" vertical="center" wrapText="1"/>
    </xf>
    <xf numFmtId="169" fontId="29" fillId="0" borderId="35" xfId="82" applyFont="1" applyFill="1" applyBorder="1" applyAlignment="1">
      <alignment horizontal="center" vertical="center" wrapText="1"/>
    </xf>
    <xf numFmtId="0" fontId="27" fillId="0" borderId="36" xfId="66" applyFont="1" applyBorder="1" applyAlignment="1">
      <alignment horizontal="center" vertical="center"/>
    </xf>
    <xf numFmtId="0" fontId="27" fillId="0" borderId="18" xfId="66" applyFont="1" applyBorder="1" applyAlignment="1">
      <alignment horizontal="center" vertical="center"/>
    </xf>
    <xf numFmtId="0" fontId="27" fillId="0" borderId="10" xfId="66" applyFont="1" applyBorder="1" applyAlignment="1">
      <alignment horizontal="justify" vertical="center"/>
    </xf>
    <xf numFmtId="0" fontId="27" fillId="48" borderId="10" xfId="81" applyFont="1" applyFill="1" applyBorder="1" applyAlignment="1">
      <alignment horizontal="center" vertical="center"/>
    </xf>
    <xf numFmtId="2" fontId="27" fillId="48" borderId="10" xfId="81" applyNumberFormat="1" applyFont="1" applyFill="1" applyBorder="1" applyAlignment="1">
      <alignment horizontal="center" vertical="center"/>
    </xf>
    <xf numFmtId="171" fontId="27" fillId="48" borderId="10" xfId="81" applyNumberFormat="1" applyFont="1" applyFill="1" applyBorder="1" applyAlignment="1">
      <alignment horizontal="center" vertical="center"/>
    </xf>
    <xf numFmtId="171" fontId="27" fillId="48" borderId="32" xfId="81" applyNumberFormat="1" applyFont="1" applyFill="1" applyBorder="1" applyAlignment="1">
      <alignment horizontal="center" vertical="center"/>
    </xf>
    <xf numFmtId="2" fontId="27" fillId="48" borderId="19" xfId="81" applyNumberFormat="1" applyFont="1" applyFill="1" applyBorder="1" applyAlignment="1">
      <alignment horizontal="center" vertical="center"/>
    </xf>
    <xf numFmtId="171" fontId="27" fillId="0" borderId="24" xfId="71" applyNumberFormat="1" applyFont="1" applyFill="1" applyBorder="1" applyAlignment="1">
      <alignment horizontal="center"/>
    </xf>
    <xf numFmtId="171" fontId="27" fillId="0" borderId="35" xfId="71" applyNumberFormat="1" applyFont="1" applyFill="1" applyBorder="1" applyAlignment="1">
      <alignment horizontal="center"/>
    </xf>
    <xf numFmtId="165" fontId="27" fillId="0" borderId="32" xfId="46" applyFont="1" applyFill="1" applyBorder="1"/>
    <xf numFmtId="165" fontId="27" fillId="0" borderId="40" xfId="46" applyFont="1" applyFill="1" applyBorder="1" applyAlignment="1">
      <alignment horizontal="center"/>
    </xf>
    <xf numFmtId="10" fontId="34" fillId="38" borderId="32" xfId="30" applyNumberFormat="1" applyFont="1" applyFill="1" applyBorder="1"/>
    <xf numFmtId="171" fontId="35" fillId="49" borderId="10" xfId="81" applyNumberFormat="1" applyFont="1" applyFill="1" applyBorder="1" applyAlignment="1">
      <alignment horizontal="center" vertical="center"/>
    </xf>
    <xf numFmtId="0" fontId="39" fillId="43" borderId="42" xfId="0" applyFont="1" applyFill="1" applyBorder="1" applyAlignment="1">
      <alignment vertical="center" wrapText="1"/>
    </xf>
    <xf numFmtId="0" fontId="39" fillId="43" borderId="42" xfId="0" applyFont="1" applyFill="1" applyBorder="1" applyAlignment="1">
      <alignment horizontal="center" vertical="center" wrapText="1"/>
    </xf>
    <xf numFmtId="0" fontId="40" fillId="0" borderId="43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justify" vertical="center" wrapText="1"/>
    </xf>
    <xf numFmtId="8" fontId="35" fillId="0" borderId="44" xfId="0" applyNumberFormat="1" applyFont="1" applyBorder="1" applyAlignment="1">
      <alignment horizontal="distributed" vertical="center" wrapText="1"/>
    </xf>
    <xf numFmtId="8" fontId="40" fillId="0" borderId="44" xfId="0" applyNumberFormat="1" applyFont="1" applyBorder="1" applyAlignment="1">
      <alignment horizontal="distributed" vertical="center" wrapText="1"/>
    </xf>
    <xf numFmtId="0" fontId="40" fillId="0" borderId="44" xfId="0" applyFont="1" applyBorder="1" applyAlignment="1">
      <alignment horizontal="justify" vertical="center"/>
    </xf>
    <xf numFmtId="0" fontId="41" fillId="50" borderId="44" xfId="83" applyFont="1" applyFill="1" applyBorder="1" applyAlignment="1">
      <alignment horizontal="center" vertical="center" wrapText="1"/>
    </xf>
    <xf numFmtId="8" fontId="39" fillId="47" borderId="42" xfId="0" applyNumberFormat="1" applyFont="1" applyFill="1" applyBorder="1" applyAlignment="1">
      <alignment horizontal="distributed" vertical="center" wrapText="1"/>
    </xf>
    <xf numFmtId="49" fontId="37" fillId="43" borderId="18" xfId="0" applyNumberFormat="1" applyFont="1" applyFill="1" applyBorder="1" applyAlignment="1">
      <alignment horizontal="center" vertical="center" wrapText="1"/>
    </xf>
    <xf numFmtId="49" fontId="37" fillId="43" borderId="10" xfId="0" applyNumberFormat="1" applyFont="1" applyFill="1" applyBorder="1" applyAlignment="1">
      <alignment horizontal="center" vertical="center" wrapText="1"/>
    </xf>
    <xf numFmtId="0" fontId="37" fillId="43" borderId="10" xfId="0" applyFont="1" applyFill="1" applyBorder="1" applyAlignment="1">
      <alignment horizontal="center" vertical="center"/>
    </xf>
    <xf numFmtId="0" fontId="38" fillId="0" borderId="18" xfId="0" applyFont="1" applyBorder="1" applyAlignment="1">
      <alignment horizontal="center" vertical="center"/>
    </xf>
    <xf numFmtId="8" fontId="38" fillId="0" borderId="10" xfId="0" applyNumberFormat="1" applyFont="1" applyBorder="1" applyAlignment="1">
      <alignment horizontal="distributed" vertical="center"/>
    </xf>
    <xf numFmtId="8" fontId="38" fillId="0" borderId="10" xfId="0" applyNumberFormat="1" applyFont="1" applyBorder="1" applyAlignment="1">
      <alignment vertical="center"/>
    </xf>
    <xf numFmtId="0" fontId="37" fillId="43" borderId="18" xfId="0" applyFont="1" applyFill="1" applyBorder="1" applyAlignment="1">
      <alignment vertical="center"/>
    </xf>
    <xf numFmtId="8" fontId="37" fillId="43" borderId="10" xfId="0" applyNumberFormat="1" applyFont="1" applyFill="1" applyBorder="1" applyAlignment="1">
      <alignment horizontal="center" vertical="center"/>
    </xf>
    <xf numFmtId="8" fontId="37" fillId="43" borderId="10" xfId="0" applyNumberFormat="1" applyFont="1" applyFill="1" applyBorder="1" applyAlignment="1">
      <alignment vertical="center"/>
    </xf>
    <xf numFmtId="0" fontId="38" fillId="0" borderId="0" xfId="0" applyFont="1" applyAlignment="1">
      <alignment vertical="center"/>
    </xf>
    <xf numFmtId="10" fontId="37" fillId="41" borderId="10" xfId="0" applyNumberFormat="1" applyFont="1" applyFill="1" applyBorder="1" applyAlignment="1">
      <alignment horizontal="center" vertical="center"/>
    </xf>
    <xf numFmtId="49" fontId="40" fillId="0" borderId="44" xfId="0" applyNumberFormat="1" applyFont="1" applyBorder="1" applyAlignment="1">
      <alignment horizontal="center" vertical="center" wrapText="1"/>
    </xf>
    <xf numFmtId="0" fontId="43" fillId="0" borderId="10" xfId="85" applyFont="1" applyBorder="1" applyAlignment="1">
      <alignment horizontal="left" vertical="center" wrapText="1"/>
    </xf>
    <xf numFmtId="44" fontId="22" fillId="0" borderId="10" xfId="0" applyNumberFormat="1" applyFont="1" applyBorder="1" applyAlignment="1">
      <alignment horizontal="center" vertical="center"/>
    </xf>
    <xf numFmtId="0" fontId="29" fillId="51" borderId="10" xfId="81" applyFont="1" applyFill="1" applyBorder="1" applyAlignment="1">
      <alignment horizontal="center" vertical="center" wrapText="1"/>
    </xf>
    <xf numFmtId="169" fontId="29" fillId="51" borderId="10" xfId="82" applyFont="1" applyFill="1" applyBorder="1" applyAlignment="1">
      <alignment horizontal="center" vertical="center" wrapText="1"/>
    </xf>
    <xf numFmtId="172" fontId="27" fillId="0" borderId="10" xfId="81" applyNumberFormat="1" applyFont="1" applyBorder="1" applyAlignment="1">
      <alignment horizontal="center" vertical="center"/>
    </xf>
    <xf numFmtId="3" fontId="27" fillId="0" borderId="10" xfId="81" applyNumberFormat="1" applyFont="1" applyBorder="1" applyAlignment="1">
      <alignment horizontal="center" vertical="center"/>
    </xf>
    <xf numFmtId="173" fontId="27" fillId="0" borderId="10" xfId="81" applyNumberFormat="1" applyFont="1" applyBorder="1" applyAlignment="1">
      <alignment horizontal="center" vertical="center"/>
    </xf>
    <xf numFmtId="174" fontId="27" fillId="0" borderId="10" xfId="81" applyNumberFormat="1" applyFont="1" applyBorder="1" applyAlignment="1">
      <alignment horizontal="center" vertical="center"/>
    </xf>
    <xf numFmtId="39" fontId="27" fillId="0" borderId="10" xfId="81" applyNumberFormat="1" applyFont="1" applyBorder="1" applyAlignment="1">
      <alignment horizontal="center" vertical="center"/>
    </xf>
    <xf numFmtId="44" fontId="27" fillId="0" borderId="10" xfId="1" applyFont="1" applyBorder="1" applyAlignment="1">
      <alignment horizontal="right" vertical="center"/>
    </xf>
    <xf numFmtId="166" fontId="27" fillId="0" borderId="10" xfId="72" applyFont="1" applyFill="1" applyBorder="1" applyAlignment="1">
      <alignment horizontal="center"/>
    </xf>
    <xf numFmtId="44" fontId="27" fillId="0" borderId="10" xfId="1" applyFont="1" applyFill="1" applyBorder="1"/>
    <xf numFmtId="0" fontId="0" fillId="0" borderId="0" xfId="0" applyAlignment="1">
      <alignment horizontal="right"/>
    </xf>
    <xf numFmtId="0" fontId="17" fillId="0" borderId="10" xfId="45" applyBorder="1" applyAlignment="1">
      <alignment horizontal="center" vertical="center"/>
    </xf>
    <xf numFmtId="0" fontId="46" fillId="0" borderId="10" xfId="45" applyFont="1" applyBorder="1" applyAlignment="1">
      <alignment horizontal="justify" vertical="center"/>
    </xf>
    <xf numFmtId="0" fontId="47" fillId="48" borderId="10" xfId="81" applyFont="1" applyFill="1" applyBorder="1" applyAlignment="1">
      <alignment horizontal="center" vertical="center"/>
    </xf>
    <xf numFmtId="2" fontId="17" fillId="48" borderId="10" xfId="81" applyNumberFormat="1" applyFill="1" applyBorder="1" applyAlignment="1">
      <alignment horizontal="center" vertical="center"/>
    </xf>
    <xf numFmtId="165" fontId="17" fillId="49" borderId="10" xfId="81" applyNumberFormat="1" applyFill="1" applyBorder="1" applyAlignment="1">
      <alignment horizontal="center" vertical="center"/>
    </xf>
    <xf numFmtId="165" fontId="17" fillId="48" borderId="10" xfId="81" applyNumberFormat="1" applyFill="1" applyBorder="1" applyAlignment="1">
      <alignment horizontal="center" vertical="center"/>
    </xf>
    <xf numFmtId="0" fontId="17" fillId="0" borderId="10" xfId="42" applyBorder="1" applyAlignment="1">
      <alignment horizontal="center" vertical="center"/>
    </xf>
    <xf numFmtId="0" fontId="46" fillId="0" borderId="10" xfId="42" applyFont="1" applyBorder="1" applyAlignment="1">
      <alignment horizontal="justify" vertical="center"/>
    </xf>
    <xf numFmtId="0" fontId="15" fillId="41" borderId="10" xfId="0" applyFont="1" applyFill="1" applyBorder="1"/>
    <xf numFmtId="44" fontId="0" fillId="0" borderId="10" xfId="1" applyFont="1" applyBorder="1"/>
    <xf numFmtId="44" fontId="0" fillId="41" borderId="10" xfId="0" applyNumberFormat="1" applyFill="1" applyBorder="1"/>
    <xf numFmtId="0" fontId="15" fillId="0" borderId="25" xfId="0" applyFont="1" applyBorder="1" applyAlignment="1">
      <alignment horizontal="center"/>
    </xf>
    <xf numFmtId="0" fontId="0" fillId="0" borderId="10" xfId="0" applyBorder="1" applyAlignment="1">
      <alignment horizontal="center"/>
    </xf>
    <xf numFmtId="44" fontId="0" fillId="0" borderId="10" xfId="0" applyNumberFormat="1" applyBorder="1"/>
    <xf numFmtId="44" fontId="0" fillId="0" borderId="10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44" fontId="0" fillId="0" borderId="25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0" fontId="15" fillId="41" borderId="42" xfId="0" applyFont="1" applyFill="1" applyBorder="1" applyAlignment="1">
      <alignment horizontal="center"/>
    </xf>
    <xf numFmtId="44" fontId="15" fillId="41" borderId="48" xfId="0" applyNumberFormat="1" applyFont="1" applyFill="1" applyBorder="1"/>
    <xf numFmtId="44" fontId="0" fillId="0" borderId="0" xfId="0" applyNumberFormat="1"/>
    <xf numFmtId="0" fontId="13" fillId="0" borderId="0" xfId="0" applyFont="1"/>
    <xf numFmtId="0" fontId="49" fillId="0" borderId="10" xfId="0" applyFont="1" applyBorder="1" applyAlignment="1">
      <alignment vertical="center" wrapText="1"/>
    </xf>
    <xf numFmtId="0" fontId="49" fillId="0" borderId="10" xfId="0" applyFont="1" applyBorder="1" applyAlignment="1">
      <alignment vertical="center"/>
    </xf>
    <xf numFmtId="0" fontId="49" fillId="42" borderId="12" xfId="0" applyFont="1" applyFill="1" applyBorder="1" applyAlignment="1">
      <alignment vertical="center" wrapText="1"/>
    </xf>
    <xf numFmtId="8" fontId="49" fillId="0" borderId="18" xfId="0" applyNumberFormat="1" applyFont="1" applyBorder="1" applyAlignment="1">
      <alignment horizontal="center" vertical="center"/>
    </xf>
    <xf numFmtId="8" fontId="49" fillId="0" borderId="10" xfId="0" applyNumberFormat="1" applyFont="1" applyBorder="1" applyAlignment="1">
      <alignment horizontal="center" vertical="center"/>
    </xf>
    <xf numFmtId="10" fontId="49" fillId="0" borderId="18" xfId="2" applyNumberFormat="1" applyFont="1" applyFill="1" applyBorder="1" applyAlignment="1">
      <alignment horizontal="center" vertical="center"/>
    </xf>
    <xf numFmtId="0" fontId="34" fillId="0" borderId="0" xfId="0" applyFont="1"/>
    <xf numFmtId="0" fontId="34" fillId="0" borderId="18" xfId="66" applyFont="1" applyBorder="1" applyAlignment="1">
      <alignment horizontal="center" vertical="center"/>
    </xf>
    <xf numFmtId="44" fontId="0" fillId="0" borderId="10" xfId="1" applyFont="1" applyFill="1" applyBorder="1"/>
    <xf numFmtId="44" fontId="17" fillId="54" borderId="10" xfId="73" applyFont="1" applyFill="1" applyBorder="1" applyAlignment="1">
      <alignment horizontal="center"/>
    </xf>
    <xf numFmtId="10" fontId="27" fillId="55" borderId="10" xfId="30" applyNumberFormat="1" applyFont="1" applyFill="1" applyBorder="1"/>
    <xf numFmtId="44" fontId="15" fillId="41" borderId="51" xfId="0" applyNumberFormat="1" applyFont="1" applyFill="1" applyBorder="1"/>
    <xf numFmtId="44" fontId="34" fillId="0" borderId="10" xfId="0" applyNumberFormat="1" applyFont="1" applyBorder="1"/>
    <xf numFmtId="0" fontId="29" fillId="0" borderId="10" xfId="81" applyFont="1" applyBorder="1" applyAlignment="1">
      <alignment horizontal="right" wrapText="1"/>
    </xf>
    <xf numFmtId="0" fontId="29" fillId="0" borderId="10" xfId="42" applyFont="1" applyBorder="1" applyAlignment="1">
      <alignment horizontal="left" vertical="center" wrapText="1"/>
    </xf>
    <xf numFmtId="0" fontId="21" fillId="41" borderId="10" xfId="0" applyFont="1" applyFill="1" applyBorder="1" applyAlignment="1">
      <alignment horizontal="center" vertical="center"/>
    </xf>
    <xf numFmtId="0" fontId="21" fillId="37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3" fillId="42" borderId="17" xfId="0" applyFont="1" applyFill="1" applyBorder="1" applyAlignment="1">
      <alignment horizontal="center" vertical="center"/>
    </xf>
    <xf numFmtId="0" fontId="23" fillId="42" borderId="18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7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1" fillId="0" borderId="18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22" fillId="0" borderId="18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0" fontId="21" fillId="39" borderId="10" xfId="0" applyFont="1" applyFill="1" applyBorder="1" applyAlignment="1">
      <alignment vertical="center"/>
    </xf>
    <xf numFmtId="0" fontId="49" fillId="0" borderId="17" xfId="0" applyFont="1" applyBorder="1" applyAlignment="1">
      <alignment horizontal="left" vertical="center"/>
    </xf>
    <xf numFmtId="0" fontId="49" fillId="0" borderId="18" xfId="0" applyFont="1" applyBorder="1" applyAlignment="1">
      <alignment horizontal="left" vertical="center"/>
    </xf>
    <xf numFmtId="8" fontId="21" fillId="0" borderId="10" xfId="0" applyNumberFormat="1" applyFont="1" applyBorder="1" applyAlignment="1">
      <alignment horizontal="center" vertical="center"/>
    </xf>
    <xf numFmtId="8" fontId="21" fillId="39" borderId="17" xfId="0" applyNumberFormat="1" applyFont="1" applyFill="1" applyBorder="1" applyAlignment="1">
      <alignment horizontal="left" vertical="center"/>
    </xf>
    <xf numFmtId="8" fontId="21" fillId="39" borderId="20" xfId="0" applyNumberFormat="1" applyFont="1" applyFill="1" applyBorder="1" applyAlignment="1">
      <alignment horizontal="left" vertical="center"/>
    </xf>
    <xf numFmtId="8" fontId="21" fillId="39" borderId="18" xfId="0" applyNumberFormat="1" applyFont="1" applyFill="1" applyBorder="1" applyAlignment="1">
      <alignment horizontal="left" vertical="center"/>
    </xf>
    <xf numFmtId="8" fontId="21" fillId="0" borderId="17" xfId="0" applyNumberFormat="1" applyFont="1" applyBorder="1" applyAlignment="1">
      <alignment horizontal="center" vertical="center"/>
    </xf>
    <xf numFmtId="8" fontId="21" fillId="0" borderId="20" xfId="0" applyNumberFormat="1" applyFont="1" applyBorder="1" applyAlignment="1">
      <alignment horizontal="center" vertical="center"/>
    </xf>
    <xf numFmtId="8" fontId="21" fillId="0" borderId="18" xfId="0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37" borderId="17" xfId="0" applyFont="1" applyFill="1" applyBorder="1" applyAlignment="1">
      <alignment horizontal="left" vertical="center"/>
    </xf>
    <xf numFmtId="0" fontId="21" fillId="37" borderId="18" xfId="0" applyFont="1" applyFill="1" applyBorder="1" applyAlignment="1">
      <alignment horizontal="left" vertical="center"/>
    </xf>
    <xf numFmtId="0" fontId="21" fillId="37" borderId="20" xfId="0" applyFont="1" applyFill="1" applyBorder="1" applyAlignment="1">
      <alignment horizontal="left" vertical="center"/>
    </xf>
    <xf numFmtId="8" fontId="21" fillId="37" borderId="17" xfId="0" applyNumberFormat="1" applyFont="1" applyFill="1" applyBorder="1" applyAlignment="1">
      <alignment horizontal="left" vertical="center"/>
    </xf>
    <xf numFmtId="8" fontId="21" fillId="37" borderId="20" xfId="0" applyNumberFormat="1" applyFont="1" applyFill="1" applyBorder="1" applyAlignment="1">
      <alignment horizontal="left" vertical="center"/>
    </xf>
    <xf numFmtId="8" fontId="21" fillId="37" borderId="18" xfId="0" applyNumberFormat="1" applyFont="1" applyFill="1" applyBorder="1" applyAlignment="1">
      <alignment horizontal="left" vertical="center"/>
    </xf>
    <xf numFmtId="8" fontId="21" fillId="37" borderId="17" xfId="0" applyNumberFormat="1" applyFont="1" applyFill="1" applyBorder="1" applyAlignment="1">
      <alignment horizontal="left"/>
    </xf>
    <xf numFmtId="8" fontId="21" fillId="37" borderId="20" xfId="0" applyNumberFormat="1" applyFont="1" applyFill="1" applyBorder="1" applyAlignment="1">
      <alignment horizontal="left"/>
    </xf>
    <xf numFmtId="8" fontId="21" fillId="37" borderId="18" xfId="0" applyNumberFormat="1" applyFont="1" applyFill="1" applyBorder="1" applyAlignment="1">
      <alignment horizontal="left"/>
    </xf>
    <xf numFmtId="0" fontId="23" fillId="0" borderId="17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8" fontId="21" fillId="0" borderId="17" xfId="0" applyNumberFormat="1" applyFont="1" applyBorder="1" applyAlignment="1">
      <alignment horizontal="left" vertical="center"/>
    </xf>
    <xf numFmtId="8" fontId="21" fillId="0" borderId="20" xfId="0" applyNumberFormat="1" applyFont="1" applyBorder="1" applyAlignment="1">
      <alignment horizontal="left" vertical="center"/>
    </xf>
    <xf numFmtId="8" fontId="21" fillId="0" borderId="18" xfId="0" applyNumberFormat="1" applyFont="1" applyBorder="1" applyAlignment="1">
      <alignment horizontal="left" vertical="center"/>
    </xf>
    <xf numFmtId="8" fontId="22" fillId="0" borderId="17" xfId="0" applyNumberFormat="1" applyFont="1" applyBorder="1" applyAlignment="1">
      <alignment horizontal="left" vertical="center"/>
    </xf>
    <xf numFmtId="8" fontId="22" fillId="0" borderId="18" xfId="0" applyNumberFormat="1" applyFont="1" applyBorder="1" applyAlignment="1">
      <alignment horizontal="left" vertical="center"/>
    </xf>
    <xf numFmtId="8" fontId="21" fillId="44" borderId="10" xfId="0" applyNumberFormat="1" applyFont="1" applyFill="1" applyBorder="1" applyAlignment="1">
      <alignment horizontal="left" vertical="center"/>
    </xf>
    <xf numFmtId="0" fontId="23" fillId="0" borderId="17" xfId="0" applyFont="1" applyBorder="1" applyAlignment="1">
      <alignment vertical="center" wrapText="1"/>
    </xf>
    <xf numFmtId="0" fontId="23" fillId="0" borderId="18" xfId="0" applyFont="1" applyBorder="1" applyAlignment="1">
      <alignment vertical="center" wrapText="1"/>
    </xf>
    <xf numFmtId="0" fontId="23" fillId="0" borderId="20" xfId="0" applyFont="1" applyBorder="1" applyAlignment="1">
      <alignment horizontal="left" vertical="center" wrapText="1"/>
    </xf>
    <xf numFmtId="10" fontId="22" fillId="0" borderId="19" xfId="2" applyNumberFormat="1" applyFont="1" applyFill="1" applyBorder="1" applyAlignment="1">
      <alignment horizontal="center" vertical="center"/>
    </xf>
    <xf numFmtId="10" fontId="22" fillId="0" borderId="21" xfId="2" applyNumberFormat="1" applyFont="1" applyFill="1" applyBorder="1" applyAlignment="1">
      <alignment horizontal="center" vertical="center"/>
    </xf>
    <xf numFmtId="10" fontId="22" fillId="0" borderId="25" xfId="2" applyNumberFormat="1" applyFont="1" applyFill="1" applyBorder="1" applyAlignment="1">
      <alignment horizontal="center" vertical="center"/>
    </xf>
    <xf numFmtId="167" fontId="22" fillId="0" borderId="19" xfId="0" applyNumberFormat="1" applyFont="1" applyBorder="1" applyAlignment="1">
      <alignment horizontal="center" vertical="center"/>
    </xf>
    <xf numFmtId="167" fontId="22" fillId="0" borderId="21" xfId="0" applyNumberFormat="1" applyFont="1" applyBorder="1" applyAlignment="1">
      <alignment horizontal="center" vertical="center"/>
    </xf>
    <xf numFmtId="167" fontId="22" fillId="0" borderId="25" xfId="0" applyNumberFormat="1" applyFont="1" applyBorder="1" applyAlignment="1">
      <alignment horizontal="center" vertical="center"/>
    </xf>
    <xf numFmtId="10" fontId="19" fillId="0" borderId="19" xfId="2" applyNumberFormat="1" applyFont="1" applyFill="1" applyBorder="1" applyAlignment="1">
      <alignment horizontal="center" vertical="center"/>
    </xf>
    <xf numFmtId="10" fontId="19" fillId="0" borderId="21" xfId="2" applyNumberFormat="1" applyFont="1" applyFill="1" applyBorder="1" applyAlignment="1">
      <alignment horizontal="center" vertical="center"/>
    </xf>
    <xf numFmtId="10" fontId="19" fillId="0" borderId="25" xfId="2" applyNumberFormat="1" applyFont="1" applyFill="1" applyBorder="1" applyAlignment="1">
      <alignment horizontal="center" vertical="center"/>
    </xf>
    <xf numFmtId="8" fontId="21" fillId="39" borderId="10" xfId="0" applyNumberFormat="1" applyFont="1" applyFill="1" applyBorder="1" applyAlignment="1">
      <alignment horizontal="left" vertical="center"/>
    </xf>
    <xf numFmtId="8" fontId="19" fillId="37" borderId="17" xfId="0" applyNumberFormat="1" applyFont="1" applyFill="1" applyBorder="1" applyAlignment="1">
      <alignment horizontal="center" vertical="center"/>
    </xf>
    <xf numFmtId="8" fontId="19" fillId="37" borderId="20" xfId="0" applyNumberFormat="1" applyFont="1" applyFill="1" applyBorder="1" applyAlignment="1">
      <alignment horizontal="center" vertical="center"/>
    </xf>
    <xf numFmtId="8" fontId="19" fillId="37" borderId="18" xfId="0" applyNumberFormat="1" applyFont="1" applyFill="1" applyBorder="1" applyAlignment="1">
      <alignment horizontal="center" vertical="center"/>
    </xf>
    <xf numFmtId="0" fontId="21" fillId="45" borderId="17" xfId="0" applyFont="1" applyFill="1" applyBorder="1" applyAlignment="1">
      <alignment horizontal="left" vertical="center"/>
    </xf>
    <xf numFmtId="0" fontId="21" fillId="45" borderId="20" xfId="0" applyFont="1" applyFill="1" applyBorder="1" applyAlignment="1">
      <alignment horizontal="left" vertical="center"/>
    </xf>
    <xf numFmtId="0" fontId="21" fillId="45" borderId="18" xfId="0" applyFont="1" applyFill="1" applyBorder="1" applyAlignment="1">
      <alignment horizontal="left" vertical="center"/>
    </xf>
    <xf numFmtId="0" fontId="24" fillId="0" borderId="17" xfId="0" applyFont="1" applyBorder="1"/>
    <xf numFmtId="0" fontId="24" fillId="0" borderId="20" xfId="0" applyFont="1" applyBorder="1"/>
    <xf numFmtId="0" fontId="24" fillId="0" borderId="18" xfId="0" applyFont="1" applyBorder="1"/>
    <xf numFmtId="0" fontId="15" fillId="56" borderId="16" xfId="0" applyFont="1" applyFill="1" applyBorder="1" applyAlignment="1">
      <alignment horizontal="center"/>
    </xf>
    <xf numFmtId="0" fontId="15" fillId="56" borderId="23" xfId="0" applyFont="1" applyFill="1" applyBorder="1" applyAlignment="1">
      <alignment horizontal="center"/>
    </xf>
    <xf numFmtId="0" fontId="15" fillId="56" borderId="30" xfId="0" applyFont="1" applyFill="1" applyBorder="1" applyAlignment="1">
      <alignment horizontal="center"/>
    </xf>
    <xf numFmtId="0" fontId="15" fillId="41" borderId="45" xfId="0" applyFont="1" applyFill="1" applyBorder="1" applyAlignment="1">
      <alignment horizontal="right"/>
    </xf>
    <xf numFmtId="0" fontId="15" fillId="41" borderId="50" xfId="0" applyFont="1" applyFill="1" applyBorder="1" applyAlignment="1">
      <alignment horizontal="right"/>
    </xf>
    <xf numFmtId="0" fontId="15" fillId="41" borderId="16" xfId="0" applyFont="1" applyFill="1" applyBorder="1" applyAlignment="1">
      <alignment horizontal="right"/>
    </xf>
    <xf numFmtId="0" fontId="15" fillId="41" borderId="49" xfId="0" applyFont="1" applyFill="1" applyBorder="1" applyAlignment="1">
      <alignment horizontal="right"/>
    </xf>
    <xf numFmtId="0" fontId="15" fillId="0" borderId="10" xfId="0" applyFont="1" applyBorder="1" applyAlignment="1">
      <alignment horizontal="center"/>
    </xf>
    <xf numFmtId="0" fontId="0" fillId="0" borderId="15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0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33" borderId="10" xfId="0" applyFill="1" applyBorder="1" applyAlignment="1">
      <alignment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0" fontId="15" fillId="34" borderId="10" xfId="0" applyFont="1" applyFill="1" applyBorder="1" applyAlignment="1">
      <alignment horizontal="center" vertical="center"/>
    </xf>
    <xf numFmtId="10" fontId="15" fillId="35" borderId="10" xfId="0" applyNumberFormat="1" applyFont="1" applyFill="1" applyBorder="1" applyAlignment="1">
      <alignment horizontal="center" vertical="center"/>
    </xf>
    <xf numFmtId="0" fontId="0" fillId="35" borderId="10" xfId="0" applyFill="1" applyBorder="1" applyAlignment="1">
      <alignment horizontal="center" vertical="center"/>
    </xf>
    <xf numFmtId="0" fontId="0" fillId="33" borderId="10" xfId="0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32" fillId="46" borderId="10" xfId="0" applyFont="1" applyFill="1" applyBorder="1" applyAlignment="1">
      <alignment horizontal="center" vertical="center"/>
    </xf>
    <xf numFmtId="0" fontId="15" fillId="41" borderId="16" xfId="0" applyFont="1" applyFill="1" applyBorder="1" applyAlignment="1">
      <alignment horizontal="center"/>
    </xf>
    <xf numFmtId="0" fontId="15" fillId="41" borderId="23" xfId="0" applyFont="1" applyFill="1" applyBorder="1" applyAlignment="1">
      <alignment horizontal="center"/>
    </xf>
    <xf numFmtId="0" fontId="15" fillId="0" borderId="22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22" fillId="42" borderId="17" xfId="0" applyFont="1" applyFill="1" applyBorder="1" applyAlignment="1">
      <alignment horizontal="center" vertical="center" wrapText="1"/>
    </xf>
    <xf numFmtId="0" fontId="22" fillId="42" borderId="18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1" fillId="39" borderId="17" xfId="0" applyFont="1" applyFill="1" applyBorder="1" applyAlignment="1">
      <alignment vertical="center"/>
    </xf>
    <xf numFmtId="0" fontId="21" fillId="39" borderId="20" xfId="0" applyFont="1" applyFill="1" applyBorder="1" applyAlignment="1">
      <alignment vertical="center"/>
    </xf>
    <xf numFmtId="0" fontId="21" fillId="39" borderId="18" xfId="0" applyFont="1" applyFill="1" applyBorder="1" applyAlignment="1">
      <alignment vertical="center"/>
    </xf>
    <xf numFmtId="10" fontId="49" fillId="0" borderId="19" xfId="2" applyNumberFormat="1" applyFont="1" applyFill="1" applyBorder="1" applyAlignment="1">
      <alignment horizontal="center" vertical="center"/>
    </xf>
    <xf numFmtId="10" fontId="49" fillId="0" borderId="21" xfId="2" applyNumberFormat="1" applyFont="1" applyFill="1" applyBorder="1" applyAlignment="1">
      <alignment horizontal="center" vertical="center"/>
    </xf>
    <xf numFmtId="10" fontId="49" fillId="0" borderId="25" xfId="2" applyNumberFormat="1" applyFont="1" applyFill="1" applyBorder="1" applyAlignment="1">
      <alignment horizontal="center" vertical="center"/>
    </xf>
    <xf numFmtId="8" fontId="21" fillId="44" borderId="17" xfId="0" applyNumberFormat="1" applyFont="1" applyFill="1" applyBorder="1" applyAlignment="1">
      <alignment horizontal="left" vertical="center"/>
    </xf>
    <xf numFmtId="8" fontId="21" fillId="44" borderId="20" xfId="0" applyNumberFormat="1" applyFont="1" applyFill="1" applyBorder="1" applyAlignment="1">
      <alignment horizontal="left" vertical="center"/>
    </xf>
    <xf numFmtId="8" fontId="21" fillId="44" borderId="18" xfId="0" applyNumberFormat="1" applyFont="1" applyFill="1" applyBorder="1" applyAlignment="1">
      <alignment horizontal="left" vertical="center"/>
    </xf>
    <xf numFmtId="0" fontId="21" fillId="37" borderId="17" xfId="0" applyFont="1" applyFill="1" applyBorder="1" applyAlignment="1">
      <alignment horizontal="center" vertical="center"/>
    </xf>
    <xf numFmtId="0" fontId="21" fillId="37" borderId="20" xfId="0" applyFont="1" applyFill="1" applyBorder="1" applyAlignment="1">
      <alignment horizontal="center" vertical="center"/>
    </xf>
    <xf numFmtId="0" fontId="21" fillId="37" borderId="18" xfId="0" applyFont="1" applyFill="1" applyBorder="1" applyAlignment="1">
      <alignment horizontal="center" vertical="center"/>
    </xf>
    <xf numFmtId="0" fontId="21" fillId="41" borderId="17" xfId="0" applyFont="1" applyFill="1" applyBorder="1" applyAlignment="1">
      <alignment horizontal="center" vertical="center"/>
    </xf>
    <xf numFmtId="0" fontId="21" fillId="41" borderId="20" xfId="0" applyFont="1" applyFill="1" applyBorder="1" applyAlignment="1">
      <alignment horizontal="center" vertical="center"/>
    </xf>
    <xf numFmtId="0" fontId="21" fillId="41" borderId="18" xfId="0" applyFont="1" applyFill="1" applyBorder="1" applyAlignment="1">
      <alignment horizontal="center" vertical="center"/>
    </xf>
    <xf numFmtId="44" fontId="37" fillId="43" borderId="10" xfId="84" applyFont="1" applyFill="1" applyBorder="1" applyAlignment="1" applyProtection="1">
      <alignment horizontal="center" vertical="center"/>
    </xf>
    <xf numFmtId="0" fontId="39" fillId="47" borderId="16" xfId="0" applyFont="1" applyFill="1" applyBorder="1" applyAlignment="1">
      <alignment horizontal="center" vertical="center" wrapText="1"/>
    </xf>
    <xf numFmtId="0" fontId="39" fillId="47" borderId="23" xfId="0" applyFont="1" applyFill="1" applyBorder="1" applyAlignment="1">
      <alignment horizontal="center" vertical="center" wrapText="1"/>
    </xf>
    <xf numFmtId="0" fontId="39" fillId="47" borderId="30" xfId="0" applyFont="1" applyFill="1" applyBorder="1" applyAlignment="1">
      <alignment horizontal="center" vertical="center" wrapText="1"/>
    </xf>
    <xf numFmtId="0" fontId="37" fillId="0" borderId="45" xfId="0" applyFont="1" applyBorder="1" applyAlignment="1">
      <alignment horizontal="center" wrapText="1"/>
    </xf>
    <xf numFmtId="0" fontId="37" fillId="0" borderId="46" xfId="0" applyFont="1" applyBorder="1" applyAlignment="1">
      <alignment horizontal="center" wrapText="1"/>
    </xf>
    <xf numFmtId="0" fontId="37" fillId="0" borderId="47" xfId="0" applyFont="1" applyBorder="1" applyAlignment="1">
      <alignment horizontal="center" wrapText="1"/>
    </xf>
    <xf numFmtId="49" fontId="37" fillId="43" borderId="10" xfId="0" applyNumberFormat="1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/>
    </xf>
    <xf numFmtId="0" fontId="37" fillId="43" borderId="10" xfId="0" applyFont="1" applyFill="1" applyBorder="1" applyAlignment="1">
      <alignment horizontal="center" vertical="center"/>
    </xf>
    <xf numFmtId="8" fontId="37" fillId="46" borderId="10" xfId="84" applyNumberFormat="1" applyFont="1" applyFill="1" applyBorder="1" applyAlignment="1" applyProtection="1">
      <alignment horizontal="center" vertical="center"/>
    </xf>
    <xf numFmtId="44" fontId="37" fillId="46" borderId="10" xfId="84" applyFont="1" applyFill="1" applyBorder="1" applyAlignment="1" applyProtection="1">
      <alignment horizontal="center" vertical="center"/>
    </xf>
    <xf numFmtId="0" fontId="37" fillId="0" borderId="45" xfId="0" applyFont="1" applyBorder="1" applyAlignment="1">
      <alignment horizontal="center" vertical="center" wrapText="1"/>
    </xf>
    <xf numFmtId="0" fontId="37" fillId="0" borderId="46" xfId="0" applyFont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 wrapText="1"/>
    </xf>
    <xf numFmtId="49" fontId="37" fillId="37" borderId="16" xfId="0" applyNumberFormat="1" applyFont="1" applyFill="1" applyBorder="1" applyAlignment="1" applyProtection="1">
      <alignment horizontal="center" vertical="center"/>
      <protection locked="0"/>
    </xf>
    <xf numFmtId="49" fontId="37" fillId="37" borderId="23" xfId="0" applyNumberFormat="1" applyFont="1" applyFill="1" applyBorder="1" applyAlignment="1" applyProtection="1">
      <alignment horizontal="center" vertical="center"/>
      <protection locked="0"/>
    </xf>
    <xf numFmtId="49" fontId="37" fillId="37" borderId="30" xfId="0" applyNumberFormat="1" applyFont="1" applyFill="1" applyBorder="1" applyAlignment="1" applyProtection="1">
      <alignment horizontal="center" vertical="center"/>
      <protection locked="0"/>
    </xf>
    <xf numFmtId="0" fontId="37" fillId="0" borderId="16" xfId="0" applyFont="1" applyBorder="1" applyAlignment="1">
      <alignment horizontal="center"/>
    </xf>
    <xf numFmtId="0" fontId="37" fillId="0" borderId="23" xfId="0" applyFont="1" applyBorder="1" applyAlignment="1">
      <alignment horizontal="center"/>
    </xf>
    <xf numFmtId="0" fontId="37" fillId="0" borderId="30" xfId="0" applyFont="1" applyBorder="1" applyAlignment="1">
      <alignment horizontal="center"/>
    </xf>
    <xf numFmtId="0" fontId="37" fillId="0" borderId="45" xfId="0" applyFont="1" applyBorder="1" applyAlignment="1">
      <alignment horizontal="center"/>
    </xf>
    <xf numFmtId="0" fontId="37" fillId="0" borderId="46" xfId="0" applyFont="1" applyBorder="1" applyAlignment="1">
      <alignment horizontal="center"/>
    </xf>
    <xf numFmtId="0" fontId="37" fillId="0" borderId="47" xfId="0" applyFont="1" applyBorder="1" applyAlignment="1">
      <alignment horizontal="center"/>
    </xf>
    <xf numFmtId="0" fontId="29" fillId="0" borderId="39" xfId="19" applyFont="1" applyFill="1" applyBorder="1" applyAlignment="1">
      <alignment horizontal="right"/>
    </xf>
    <xf numFmtId="0" fontId="29" fillId="0" borderId="28" xfId="19" applyFont="1" applyFill="1" applyBorder="1" applyAlignment="1">
      <alignment horizontal="right"/>
    </xf>
    <xf numFmtId="0" fontId="29" fillId="0" borderId="31" xfId="19" applyFont="1" applyFill="1" applyBorder="1" applyAlignment="1">
      <alignment horizontal="right"/>
    </xf>
    <xf numFmtId="0" fontId="29" fillId="41" borderId="41" xfId="45" applyFont="1" applyFill="1" applyBorder="1" applyAlignment="1">
      <alignment horizontal="left" vertical="center" wrapText="1"/>
    </xf>
    <xf numFmtId="0" fontId="29" fillId="41" borderId="0" xfId="45" applyFont="1" applyFill="1" applyAlignment="1">
      <alignment horizontal="left" vertical="center" wrapText="1"/>
    </xf>
    <xf numFmtId="0" fontId="29" fillId="0" borderId="33" xfId="81" applyFont="1" applyBorder="1" applyAlignment="1">
      <alignment horizontal="center" wrapText="1"/>
    </xf>
    <xf numFmtId="0" fontId="29" fillId="0" borderId="34" xfId="81" applyFont="1" applyBorder="1" applyAlignment="1">
      <alignment horizontal="center" wrapText="1"/>
    </xf>
    <xf numFmtId="0" fontId="29" fillId="0" borderId="24" xfId="81" applyFont="1" applyBorder="1" applyAlignment="1">
      <alignment horizontal="center" wrapText="1"/>
    </xf>
    <xf numFmtId="0" fontId="29" fillId="0" borderId="35" xfId="81" applyFont="1" applyBorder="1" applyAlignment="1">
      <alignment horizontal="center" wrapText="1"/>
    </xf>
    <xf numFmtId="0" fontId="29" fillId="0" borderId="36" xfId="81" applyFont="1" applyBorder="1" applyAlignment="1">
      <alignment horizontal="center" wrapText="1"/>
    </xf>
    <xf numFmtId="0" fontId="29" fillId="0" borderId="18" xfId="81" applyFont="1" applyBorder="1" applyAlignment="1">
      <alignment horizontal="center" wrapText="1"/>
    </xf>
    <xf numFmtId="0" fontId="29" fillId="0" borderId="10" xfId="81" applyFont="1" applyBorder="1" applyAlignment="1">
      <alignment horizontal="center" wrapText="1"/>
    </xf>
    <xf numFmtId="0" fontId="29" fillId="0" borderId="32" xfId="81" applyFont="1" applyBorder="1" applyAlignment="1">
      <alignment horizontal="center" wrapText="1"/>
    </xf>
    <xf numFmtId="0" fontId="29" fillId="0" borderId="37" xfId="81" applyFont="1" applyBorder="1" applyAlignment="1">
      <alignment horizontal="center" wrapText="1"/>
    </xf>
    <xf numFmtId="0" fontId="29" fillId="0" borderId="12" xfId="81" applyFont="1" applyBorder="1" applyAlignment="1">
      <alignment horizontal="center" wrapText="1"/>
    </xf>
    <xf numFmtId="0" fontId="29" fillId="0" borderId="19" xfId="81" applyFont="1" applyBorder="1" applyAlignment="1">
      <alignment horizontal="center" wrapText="1"/>
    </xf>
    <xf numFmtId="0" fontId="29" fillId="0" borderId="38" xfId="81" applyFont="1" applyBorder="1" applyAlignment="1">
      <alignment horizontal="center" wrapText="1"/>
    </xf>
    <xf numFmtId="0" fontId="29" fillId="0" borderId="33" xfId="19" applyFont="1" applyFill="1" applyBorder="1" applyAlignment="1">
      <alignment horizontal="right"/>
    </xf>
    <xf numFmtId="0" fontId="29" fillId="0" borderId="34" xfId="19" applyFont="1" applyFill="1" applyBorder="1" applyAlignment="1">
      <alignment horizontal="right"/>
    </xf>
    <xf numFmtId="0" fontId="29" fillId="0" borderId="24" xfId="19" applyFont="1" applyFill="1" applyBorder="1" applyAlignment="1">
      <alignment horizontal="right"/>
    </xf>
    <xf numFmtId="0" fontId="29" fillId="0" borderId="36" xfId="19" applyFont="1" applyFill="1" applyBorder="1" applyAlignment="1">
      <alignment horizontal="right"/>
    </xf>
    <xf numFmtId="0" fontId="29" fillId="0" borderId="18" xfId="19" applyFont="1" applyFill="1" applyBorder="1" applyAlignment="1">
      <alignment horizontal="right"/>
    </xf>
    <xf numFmtId="0" fontId="29" fillId="0" borderId="10" xfId="19" applyFont="1" applyFill="1" applyBorder="1" applyAlignment="1">
      <alignment horizontal="right"/>
    </xf>
    <xf numFmtId="0" fontId="48" fillId="52" borderId="10" xfId="81" applyFont="1" applyFill="1" applyBorder="1" applyAlignment="1">
      <alignment horizontal="right" wrapText="1"/>
    </xf>
    <xf numFmtId="0" fontId="29" fillId="55" borderId="10" xfId="19" applyFont="1" applyFill="1" applyBorder="1" applyAlignment="1">
      <alignment horizontal="right"/>
    </xf>
    <xf numFmtId="169" fontId="45" fillId="53" borderId="10" xfId="82" applyFont="1" applyFill="1" applyBorder="1" applyAlignment="1">
      <alignment horizontal="center" vertical="center"/>
    </xf>
    <xf numFmtId="169" fontId="45" fillId="53" borderId="10" xfId="82" applyFont="1" applyFill="1" applyBorder="1" applyAlignment="1">
      <alignment horizontal="center" vertical="center" wrapText="1"/>
    </xf>
    <xf numFmtId="2" fontId="45" fillId="53" borderId="10" xfId="82" applyNumberFormat="1" applyFont="1" applyFill="1" applyBorder="1" applyAlignment="1">
      <alignment horizontal="center" vertical="center" wrapText="1"/>
    </xf>
    <xf numFmtId="0" fontId="44" fillId="52" borderId="10" xfId="81" applyFont="1" applyFill="1" applyBorder="1" applyAlignment="1">
      <alignment horizontal="center" wrapText="1"/>
    </xf>
    <xf numFmtId="0" fontId="17" fillId="52" borderId="10" xfId="81" applyFill="1" applyBorder="1" applyAlignment="1">
      <alignment horizontal="center" wrapText="1"/>
    </xf>
    <xf numFmtId="0" fontId="45" fillId="53" borderId="10" xfId="81" applyFont="1" applyFill="1" applyBorder="1" applyAlignment="1">
      <alignment horizontal="center" vertical="center" wrapText="1"/>
    </xf>
    <xf numFmtId="0" fontId="15" fillId="0" borderId="10" xfId="0" applyFont="1" applyBorder="1" applyAlignment="1"/>
    <xf numFmtId="0" fontId="50" fillId="0" borderId="10" xfId="0" applyFont="1" applyBorder="1" applyAlignment="1">
      <alignment horizontal="center"/>
    </xf>
  </cellXfs>
  <cellStyles count="86">
    <cellStyle name="20% - Ênfase1" xfId="20" builtinId="30" customBuiltin="1"/>
    <cellStyle name="20% - Ênfase2" xfId="23" builtinId="34" customBuiltin="1"/>
    <cellStyle name="20% - Ênfase3" xfId="26" builtinId="38" customBuiltin="1"/>
    <cellStyle name="20% - Ênfase4" xfId="29" builtinId="42" customBuiltin="1"/>
    <cellStyle name="20% - Ênfase5" xfId="32" builtinId="46" customBuiltin="1"/>
    <cellStyle name="20% - Ênfase6" xfId="35" builtinId="50" customBuiltin="1"/>
    <cellStyle name="40% - Ênfase1" xfId="21" builtinId="31" customBuiltin="1"/>
    <cellStyle name="40% - Ênfase2" xfId="24" builtinId="35" customBuiltin="1"/>
    <cellStyle name="40% - Ênfase3" xfId="27" builtinId="39" customBuiltin="1"/>
    <cellStyle name="40% - Ênfase4" xfId="30" builtinId="43" customBuiltin="1"/>
    <cellStyle name="40% - Ênfase5" xfId="33" builtinId="47" customBuiltin="1"/>
    <cellStyle name="40% - Ênfase6" xfId="36" builtinId="51" customBuiltin="1"/>
    <cellStyle name="60% - Ênfase1 2" xfId="59" xr:uid="{224F7AD5-79D6-471F-9FCC-FB8853E49FAF}"/>
    <cellStyle name="60% - Ênfase2 2" xfId="60" xr:uid="{B9886360-3B55-4782-8240-BCEB96ED93D8}"/>
    <cellStyle name="60% - Ênfase3 2" xfId="61" xr:uid="{0C08E958-EF70-479C-8ECB-3BFBC7AB665E}"/>
    <cellStyle name="60% - Ênfase4 2" xfId="62" xr:uid="{BAB47E1F-8CA4-4D62-BCEC-F8993BBE955A}"/>
    <cellStyle name="60% - Ênfase5 2" xfId="63" xr:uid="{C56999E8-B819-4DCD-ADDC-7D71BCDC10FD}"/>
    <cellStyle name="60% - Ênfase6 2" xfId="64" xr:uid="{BC95D5D8-E038-4F96-96C3-6BC599543725}"/>
    <cellStyle name="Bom" xfId="8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2" builtinId="33" customBuiltin="1"/>
    <cellStyle name="Ênfase3" xfId="25" builtinId="37" customBuiltin="1"/>
    <cellStyle name="Ênfase4" xfId="28" builtinId="41" customBuiltin="1"/>
    <cellStyle name="Ênfase5" xfId="31" builtinId="45" customBuiltin="1"/>
    <cellStyle name="Ênfase6" xfId="34" builtinId="49" customBuiltin="1"/>
    <cellStyle name="Entrada" xfId="10" builtinId="20" customBuiltin="1"/>
    <cellStyle name="Moeda" xfId="1" builtinId="4"/>
    <cellStyle name="Moeda 2" xfId="41" xr:uid="{4A8B4280-3B4C-4349-AC9D-24790175F223}"/>
    <cellStyle name="Moeda 2 2" xfId="71" xr:uid="{1BA1DD1E-EBE1-4F65-BD1D-020D7823BB65}"/>
    <cellStyle name="Moeda 2 4" xfId="73" xr:uid="{12090B70-CC32-4144-B72B-15D7284106FB}"/>
    <cellStyle name="Moeda 2 4 2" xfId="84" xr:uid="{672E7107-ACF2-4B7D-B4B6-C6A967A7CFFF}"/>
    <cellStyle name="Moeda 3" xfId="43" xr:uid="{57E5859C-4AB9-4517-A393-818748957E94}"/>
    <cellStyle name="Moeda 3 2" xfId="72" xr:uid="{7926250E-6A70-4C96-A9B5-75E7D9FF1FAD}"/>
    <cellStyle name="Moeda 4" xfId="46" xr:uid="{DDD0692D-ABB4-471D-B702-8E48C091338B}"/>
    <cellStyle name="Moeda 4 2" xfId="51" xr:uid="{19297548-3D98-4128-8864-DD35FF2A6608}"/>
    <cellStyle name="Moeda 5" xfId="53" xr:uid="{DA372907-4CDA-4184-8982-1719E7767CF1}"/>
    <cellStyle name="Moeda 5 2" xfId="54" xr:uid="{71A9903F-867D-4596-92A9-EFB5056C02B3}"/>
    <cellStyle name="Moeda 6" xfId="47" xr:uid="{B23A63DF-1CDB-4AF8-BCF3-2F531A1CFB8B}"/>
    <cellStyle name="Neutro 2" xfId="58" xr:uid="{7F63CAD2-0336-4508-AA82-1678C329734E}"/>
    <cellStyle name="Normal" xfId="0" builtinId="0"/>
    <cellStyle name="Normal 11" xfId="50" xr:uid="{99B4CDCB-9934-4976-A75E-6682A7AF158E}"/>
    <cellStyle name="Normal 19" xfId="38" xr:uid="{F76D7815-777A-4185-9907-8C75EC01CFA0}"/>
    <cellStyle name="Normal 2" xfId="42" xr:uid="{D2754F54-E9E3-4BF8-9EDE-7049CF12582D}"/>
    <cellStyle name="Normal 2 2" xfId="45" xr:uid="{BD98B7E8-BBF2-40C0-86EC-CAF27680B728}"/>
    <cellStyle name="Normal 2 3" xfId="49" xr:uid="{5B71C39B-8B09-45F3-A430-7FC23C359D24}"/>
    <cellStyle name="Normal 2 4" xfId="52" xr:uid="{023EB2E8-3619-4EDF-A65E-A1F0425965B9}"/>
    <cellStyle name="Normal 2 5" xfId="66" xr:uid="{2F656B36-8E53-4AAA-9C75-3439DD2BD931}"/>
    <cellStyle name="Normal 3" xfId="48" xr:uid="{D5EBD8E7-0ECC-484C-8CC1-498D200CB390}"/>
    <cellStyle name="Normal 4" xfId="85" xr:uid="{6CDBBAAB-9FE2-4A9B-9F5B-FE2A1FB171EC}"/>
    <cellStyle name="Normal_ANEXO II - Planilha Estimativa de Custos" xfId="81" xr:uid="{0FCAC88A-E22B-49B3-9EB3-A8CD4EF3C18B}"/>
    <cellStyle name="Normal_Pesquisa no referencial 10 de maio de 2013" xfId="83" xr:uid="{A5C5BC25-2B22-4A28-BDF1-BD1CC99FB7C5}"/>
    <cellStyle name="Nota" xfId="16" builtinId="10" customBuiltin="1"/>
    <cellStyle name="Porcentagem" xfId="2" builtinId="5"/>
    <cellStyle name="Porcentagem 2" xfId="44" xr:uid="{B569CD59-E7A6-4333-AFD9-3B526D9CB447}"/>
    <cellStyle name="Porcentagem 6" xfId="40" xr:uid="{502E7741-EEAF-4768-841C-E9BE31C8844A}"/>
    <cellStyle name="Ruim" xfId="9" builtinId="27" customBuiltin="1"/>
    <cellStyle name="Saída" xfId="11" builtinId="21" customBuiltin="1"/>
    <cellStyle name="Separador de milhares 5" xfId="39" xr:uid="{1F44B781-36D5-42D7-9FE3-C22AC83F50A6}"/>
    <cellStyle name="Separador de milhares_ANEXO II - Planilha Estimativa de Custos" xfId="82" xr:uid="{91EEEB26-CF82-428B-B5ED-AEC35E68D0DB}"/>
    <cellStyle name="Texto de Aviso" xfId="15" builtinId="11" customBuiltin="1"/>
    <cellStyle name="Texto Explicativo" xfId="17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8" builtinId="25" customBuiltin="1"/>
    <cellStyle name="Vírgula 2" xfId="37" xr:uid="{A754FD7F-2568-4DA8-BB43-0425822D4A8D}"/>
    <cellStyle name="Vírgula 2 2" xfId="55" xr:uid="{5FB56530-5656-43EF-BEF3-C0C4BD215509}"/>
    <cellStyle name="Vírgula 3" xfId="57" xr:uid="{E3482314-B013-4564-BA57-195E5ADB889D}"/>
    <cellStyle name="Vírgula 3 2" xfId="69" xr:uid="{3E4FFF73-DA8D-495C-8D8E-BED488F0C177}"/>
    <cellStyle name="Vírgula 3 2 2" xfId="79" xr:uid="{3D7D0AAE-757F-4C99-9A3C-FF69DB12A5EC}"/>
    <cellStyle name="Vírgula 3 3" xfId="75" xr:uid="{922A582C-7369-4484-8EAE-E95EB5FE9A47}"/>
    <cellStyle name="Vírgula 4" xfId="56" xr:uid="{AE175E4F-2AB6-4C5A-9F07-7FB6E4FFD40F}"/>
    <cellStyle name="Vírgula 4 2" xfId="68" xr:uid="{560B4641-0F4C-454D-80CB-CB67497D00B6}"/>
    <cellStyle name="Vírgula 4 2 2" xfId="78" xr:uid="{BB0F1B24-54D6-4EDB-BB66-81A387DB5E6E}"/>
    <cellStyle name="Vírgula 4 3" xfId="74" xr:uid="{562E5398-412B-4496-AFE6-6A44AB1D46BC}"/>
    <cellStyle name="Vírgula 5" xfId="65" xr:uid="{1AEA4FD3-395E-4D98-8780-B7692777BC9F}"/>
    <cellStyle name="Vírgula 5 2" xfId="70" xr:uid="{8CF91E96-D9B7-458B-8630-A78D603A147E}"/>
    <cellStyle name="Vírgula 5 2 2" xfId="80" xr:uid="{33F3AE64-48F1-490E-AA3E-EC9C0D1DD538}"/>
    <cellStyle name="Vírgula 5 3" xfId="76" xr:uid="{0E4E5DED-59CF-45F6-8D0F-7AC0AA565DE7}"/>
    <cellStyle name="Vírgula 6" xfId="67" xr:uid="{A6C64365-74E6-460A-9E99-B3C37D6C741A}"/>
    <cellStyle name="Vírgula 6 2" xfId="77" xr:uid="{D742F906-3836-443A-9DEC-3789BAE706BE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rcafascio.com/banco/insumos" TargetMode="External"/><Relationship Id="rId2" Type="http://schemas.openxmlformats.org/officeDocument/2006/relationships/hyperlink" Target="https://www.orcafascio.com/banco/insumos" TargetMode="External"/><Relationship Id="rId1" Type="http://schemas.openxmlformats.org/officeDocument/2006/relationships/hyperlink" Target="https://www.orcafascio.com/banco/insumos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25FE6-8E0A-45D3-B6CF-0AC7CC84E0AF}">
  <dimension ref="A1:I23"/>
  <sheetViews>
    <sheetView workbookViewId="0">
      <selection activeCell="D28" sqref="D28"/>
    </sheetView>
  </sheetViews>
  <sheetFormatPr defaultRowHeight="15" x14ac:dyDescent="0.25"/>
  <cols>
    <col min="1" max="1" width="53.28515625" customWidth="1"/>
    <col min="2" max="2" width="18.7109375" customWidth="1"/>
    <col min="3" max="3" width="34.42578125" customWidth="1"/>
    <col min="4" max="4" width="25.28515625" bestFit="1" customWidth="1"/>
    <col min="5" max="5" width="20.28515625" bestFit="1" customWidth="1"/>
    <col min="6" max="6" width="14.7109375" bestFit="1" customWidth="1"/>
    <col min="7" max="7" width="20.42578125" bestFit="1" customWidth="1"/>
    <col min="8" max="8" width="21.140625" bestFit="1" customWidth="1"/>
    <col min="9" max="9" width="16.85546875" bestFit="1" customWidth="1"/>
  </cols>
  <sheetData>
    <row r="1" spans="1:9" ht="40.5" customHeight="1" x14ac:dyDescent="0.25">
      <c r="A1" s="119" t="s">
        <v>865</v>
      </c>
      <c r="B1" s="120" t="s">
        <v>1069</v>
      </c>
      <c r="C1" s="120" t="s">
        <v>1070</v>
      </c>
      <c r="D1" s="120" t="s">
        <v>1071</v>
      </c>
      <c r="E1" s="120" t="s">
        <v>1072</v>
      </c>
      <c r="F1" s="120" t="s">
        <v>1073</v>
      </c>
      <c r="G1" s="120" t="s">
        <v>1074</v>
      </c>
      <c r="H1" s="120" t="s">
        <v>1075</v>
      </c>
      <c r="I1" s="120" t="s">
        <v>1076</v>
      </c>
    </row>
    <row r="2" spans="1:9" x14ac:dyDescent="0.25">
      <c r="A2" s="73" t="s">
        <v>1077</v>
      </c>
      <c r="B2" s="121">
        <f>ENGENHEIROS!F131</f>
        <v>128.78496876117998</v>
      </c>
      <c r="C2" s="122">
        <v>15</v>
      </c>
      <c r="D2" s="123">
        <f t="shared" ref="D2:D7" si="0">C2*15%+C2</f>
        <v>17.25</v>
      </c>
      <c r="E2" s="122">
        <f>D2*12</f>
        <v>207</v>
      </c>
      <c r="F2" s="124">
        <f t="shared" ref="F2:F7" si="1">B2*D2</f>
        <v>2221.5407111303548</v>
      </c>
      <c r="G2" s="125">
        <f>0.7*F2*1.5</f>
        <v>2332.6177466868726</v>
      </c>
      <c r="H2" s="125">
        <f>0.3*F2*2</f>
        <v>1332.9244266782127</v>
      </c>
      <c r="I2" s="126">
        <f t="shared" ref="I2:I7" si="2">G2+H2</f>
        <v>3665.5421733650855</v>
      </c>
    </row>
    <row r="3" spans="1:9" x14ac:dyDescent="0.25">
      <c r="A3" s="73" t="s">
        <v>1078</v>
      </c>
      <c r="B3" s="121">
        <f>'MECÂNICO DE REFRIGERAÇÃO'!F132</f>
        <v>39.436250328243624</v>
      </c>
      <c r="C3" s="122">
        <v>24</v>
      </c>
      <c r="D3" s="123">
        <f t="shared" si="0"/>
        <v>27.6</v>
      </c>
      <c r="E3" s="122">
        <f t="shared" ref="E3:E7" si="3">D3*12</f>
        <v>331.20000000000005</v>
      </c>
      <c r="F3" s="124">
        <f t="shared" si="1"/>
        <v>1088.4405090595242</v>
      </c>
      <c r="G3" s="125">
        <f>0.3*F3*1.5</f>
        <v>489.79822907678584</v>
      </c>
      <c r="H3" s="125">
        <f>F3*2*0.15</f>
        <v>326.53215271785723</v>
      </c>
      <c r="I3" s="126">
        <f t="shared" si="2"/>
        <v>816.33038179464302</v>
      </c>
    </row>
    <row r="4" spans="1:9" x14ac:dyDescent="0.25">
      <c r="A4" s="73" t="s">
        <v>1079</v>
      </c>
      <c r="B4" s="121">
        <f>'OFICIAL - CBA'!F132</f>
        <v>53.816922303126468</v>
      </c>
      <c r="C4" s="122">
        <v>32</v>
      </c>
      <c r="D4" s="123">
        <f t="shared" si="0"/>
        <v>36.799999999999997</v>
      </c>
      <c r="E4" s="122">
        <f t="shared" si="3"/>
        <v>441.59999999999997</v>
      </c>
      <c r="F4" s="124">
        <f t="shared" si="1"/>
        <v>1980.4627407550538</v>
      </c>
      <c r="G4" s="125">
        <f>0.3*F4*1.5</f>
        <v>891.20823333977421</v>
      </c>
      <c r="H4" s="125">
        <f>F4*2*0.15</f>
        <v>594.13882222651614</v>
      </c>
      <c r="I4" s="126">
        <f t="shared" si="2"/>
        <v>1485.3470555662902</v>
      </c>
    </row>
    <row r="5" spans="1:9" x14ac:dyDescent="0.25">
      <c r="A5" s="73" t="s">
        <v>1141</v>
      </c>
      <c r="B5" s="121">
        <f>'TÉCNICO EM EDIFICAÇÕES'!F132</f>
        <v>56.118760273027362</v>
      </c>
      <c r="C5" s="122">
        <v>24</v>
      </c>
      <c r="D5" s="123">
        <f t="shared" si="0"/>
        <v>27.6</v>
      </c>
      <c r="E5" s="122">
        <f t="shared" si="3"/>
        <v>331.20000000000005</v>
      </c>
      <c r="F5" s="124">
        <f t="shared" si="1"/>
        <v>1548.8777835355552</v>
      </c>
      <c r="G5" s="125">
        <f>0.3*F5*1.5</f>
        <v>696.99500259099977</v>
      </c>
      <c r="H5" s="125">
        <f>F5*2*0.15</f>
        <v>464.66333506066655</v>
      </c>
      <c r="I5" s="126">
        <f t="shared" si="2"/>
        <v>1161.6583376516664</v>
      </c>
    </row>
    <row r="6" spans="1:9" x14ac:dyDescent="0.25">
      <c r="A6" s="73" t="s">
        <v>1080</v>
      </c>
      <c r="B6" s="121">
        <f>ELETRICISTA!F132</f>
        <v>43.55383220891791</v>
      </c>
      <c r="C6" s="122">
        <v>32</v>
      </c>
      <c r="D6" s="123">
        <f t="shared" si="0"/>
        <v>36.799999999999997</v>
      </c>
      <c r="E6" s="122">
        <f t="shared" si="3"/>
        <v>441.59999999999997</v>
      </c>
      <c r="F6" s="124">
        <f t="shared" si="1"/>
        <v>1602.7810252881791</v>
      </c>
      <c r="G6" s="125">
        <f>0.3*F6*1.5</f>
        <v>721.25146137968056</v>
      </c>
      <c r="H6" s="125">
        <f>F6*2*0.15</f>
        <v>480.83430758645369</v>
      </c>
      <c r="I6" s="126">
        <f t="shared" si="2"/>
        <v>1202.0857689661343</v>
      </c>
    </row>
    <row r="7" spans="1:9" x14ac:dyDescent="0.25">
      <c r="A7" s="73" t="s">
        <v>1081</v>
      </c>
      <c r="B7" s="121">
        <f>'Auxiliar de Manutenção'!F132</f>
        <v>40.709584834115084</v>
      </c>
      <c r="C7" s="122">
        <v>32</v>
      </c>
      <c r="D7" s="123">
        <f t="shared" si="0"/>
        <v>36.799999999999997</v>
      </c>
      <c r="E7" s="122">
        <f t="shared" si="3"/>
        <v>441.59999999999997</v>
      </c>
      <c r="F7" s="124">
        <f t="shared" si="1"/>
        <v>1498.112721895435</v>
      </c>
      <c r="G7" s="125">
        <f>0.3*F7*1.5</f>
        <v>674.15072485294581</v>
      </c>
      <c r="H7" s="125">
        <f>F7*2*0.15</f>
        <v>449.4338165686305</v>
      </c>
      <c r="I7" s="126">
        <f t="shared" si="2"/>
        <v>1123.5845414215764</v>
      </c>
    </row>
    <row r="8" spans="1:9" x14ac:dyDescent="0.25">
      <c r="A8" s="167" t="s">
        <v>1088</v>
      </c>
      <c r="B8" s="167"/>
      <c r="C8" s="167"/>
      <c r="D8" s="167"/>
      <c r="E8" s="167"/>
      <c r="F8" s="167"/>
      <c r="G8" s="167"/>
      <c r="H8" s="167"/>
      <c r="I8" s="127">
        <f>SUM(I2:I7)</f>
        <v>9454.5482587653969</v>
      </c>
    </row>
    <row r="9" spans="1:9" x14ac:dyDescent="0.25">
      <c r="A9" s="167" t="s">
        <v>1082</v>
      </c>
      <c r="B9" s="167"/>
      <c r="C9" s="167"/>
      <c r="D9" s="167"/>
      <c r="E9" s="167"/>
      <c r="F9" s="167"/>
      <c r="G9" s="167"/>
      <c r="H9" s="167"/>
      <c r="I9" s="128">
        <f>I8*12</f>
        <v>113454.57910518476</v>
      </c>
    </row>
    <row r="10" spans="1:9" x14ac:dyDescent="0.25">
      <c r="A10" s="168" t="s">
        <v>1083</v>
      </c>
      <c r="B10" s="168"/>
      <c r="C10" s="168"/>
      <c r="D10" s="168"/>
      <c r="E10" s="168"/>
      <c r="F10" s="168"/>
      <c r="G10" s="168"/>
      <c r="H10" s="168"/>
      <c r="I10" s="168"/>
    </row>
    <row r="11" spans="1:9" x14ac:dyDescent="0.25">
      <c r="A11" s="168"/>
      <c r="B11" s="168"/>
      <c r="C11" s="168"/>
      <c r="D11" s="168"/>
      <c r="E11" s="168"/>
      <c r="F11" s="168"/>
      <c r="G11" s="168"/>
      <c r="H11" s="168"/>
      <c r="I11" s="168"/>
    </row>
    <row r="13" spans="1:9" ht="30" x14ac:dyDescent="0.25">
      <c r="A13" s="119" t="s">
        <v>865</v>
      </c>
      <c r="B13" s="120" t="s">
        <v>1069</v>
      </c>
      <c r="C13" s="120" t="s">
        <v>1070</v>
      </c>
      <c r="D13" s="120" t="s">
        <v>1071</v>
      </c>
      <c r="E13" s="120" t="s">
        <v>1072</v>
      </c>
      <c r="F13" s="120" t="s">
        <v>1073</v>
      </c>
      <c r="G13" s="120" t="s">
        <v>1074</v>
      </c>
      <c r="H13" s="120" t="s">
        <v>1075</v>
      </c>
      <c r="I13" s="120" t="s">
        <v>1076</v>
      </c>
    </row>
    <row r="14" spans="1:9" x14ac:dyDescent="0.25">
      <c r="A14" s="73" t="s">
        <v>1077</v>
      </c>
      <c r="B14" s="121">
        <f>ENGENHEIROS!K131</f>
        <v>108.96512188031882</v>
      </c>
      <c r="C14" s="122">
        <v>15</v>
      </c>
      <c r="D14" s="123">
        <f t="shared" ref="D14:D19" si="4">C14*15%+C14</f>
        <v>17.25</v>
      </c>
      <c r="E14" s="122">
        <f>D14*12</f>
        <v>207</v>
      </c>
      <c r="F14" s="124">
        <f t="shared" ref="F14:F19" si="5">B14*D14</f>
        <v>1879.6483524354996</v>
      </c>
      <c r="G14" s="125">
        <f>0.7*F14*1.5</f>
        <v>1973.6307700572743</v>
      </c>
      <c r="H14" s="125">
        <f>0.3*F14*2</f>
        <v>1127.7890114612997</v>
      </c>
      <c r="I14" s="126">
        <f t="shared" ref="I14:I19" si="6">G14+H14</f>
        <v>3101.4197815185739</v>
      </c>
    </row>
    <row r="15" spans="1:9" x14ac:dyDescent="0.25">
      <c r="A15" s="73" t="s">
        <v>1078</v>
      </c>
      <c r="B15" s="121">
        <f>'MECÂNICO DE REFRIGERAÇÃO'!K132</f>
        <v>34.7341188614839</v>
      </c>
      <c r="C15" s="122">
        <v>24</v>
      </c>
      <c r="D15" s="123">
        <f t="shared" si="4"/>
        <v>27.6</v>
      </c>
      <c r="E15" s="122">
        <f t="shared" ref="E15:E19" si="7">D15*12</f>
        <v>331.20000000000005</v>
      </c>
      <c r="F15" s="124">
        <f t="shared" si="5"/>
        <v>958.66168057695563</v>
      </c>
      <c r="G15" s="125">
        <f>0.3*F15*1.5</f>
        <v>431.39775625963</v>
      </c>
      <c r="H15" s="125">
        <f>F15*2*0.15</f>
        <v>287.59850417308667</v>
      </c>
      <c r="I15" s="126">
        <f t="shared" si="6"/>
        <v>718.99626043271667</v>
      </c>
    </row>
    <row r="16" spans="1:9" x14ac:dyDescent="0.25">
      <c r="A16" s="73" t="s">
        <v>1079</v>
      </c>
      <c r="B16" s="121">
        <f>'OFICIAL - CBA'!K132</f>
        <v>47.044371979116207</v>
      </c>
      <c r="C16" s="122">
        <v>32</v>
      </c>
      <c r="D16" s="123">
        <f t="shared" si="4"/>
        <v>36.799999999999997</v>
      </c>
      <c r="E16" s="122">
        <f t="shared" si="7"/>
        <v>441.59999999999997</v>
      </c>
      <c r="F16" s="124">
        <f t="shared" si="5"/>
        <v>1731.2328888314762</v>
      </c>
      <c r="G16" s="125">
        <f>0.3*F16*1.5</f>
        <v>779.05479997416433</v>
      </c>
      <c r="H16" s="125">
        <f>F16*2*0.15</f>
        <v>519.36986664944288</v>
      </c>
      <c r="I16" s="126">
        <f t="shared" si="6"/>
        <v>1298.4246666236072</v>
      </c>
    </row>
    <row r="17" spans="1:9" x14ac:dyDescent="0.25">
      <c r="A17" s="73" t="s">
        <v>1140</v>
      </c>
      <c r="B17" s="121">
        <f>'TÉCNICO EM EDIFICAÇÕES'!K132</f>
        <v>49.065571873927468</v>
      </c>
      <c r="C17" s="122">
        <v>24</v>
      </c>
      <c r="D17" s="123">
        <f t="shared" si="4"/>
        <v>27.6</v>
      </c>
      <c r="E17" s="122">
        <f t="shared" si="7"/>
        <v>331.20000000000005</v>
      </c>
      <c r="F17" s="124">
        <f t="shared" si="5"/>
        <v>1354.2097837203983</v>
      </c>
      <c r="G17" s="125">
        <f>0.3*F17*1.5</f>
        <v>609.39440267417922</v>
      </c>
      <c r="H17" s="125">
        <f>F17*2*0.15</f>
        <v>406.26293511611948</v>
      </c>
      <c r="I17" s="126">
        <f t="shared" si="6"/>
        <v>1015.6573377902987</v>
      </c>
    </row>
    <row r="18" spans="1:9" x14ac:dyDescent="0.25">
      <c r="A18" s="73" t="s">
        <v>1080</v>
      </c>
      <c r="B18" s="121">
        <f>ELETRICISTA!K132</f>
        <v>38.268737476215456</v>
      </c>
      <c r="C18" s="122">
        <v>32</v>
      </c>
      <c r="D18" s="123">
        <f t="shared" si="4"/>
        <v>36.799999999999997</v>
      </c>
      <c r="E18" s="122">
        <f t="shared" si="7"/>
        <v>441.59999999999997</v>
      </c>
      <c r="F18" s="124">
        <f t="shared" si="5"/>
        <v>1408.2895391247287</v>
      </c>
      <c r="G18" s="125">
        <f>0.3*F18*1.5</f>
        <v>633.73029260612782</v>
      </c>
      <c r="H18" s="125">
        <f>F18*2*0.15</f>
        <v>422.48686173741856</v>
      </c>
      <c r="I18" s="126">
        <f t="shared" si="6"/>
        <v>1056.2171543435463</v>
      </c>
    </row>
    <row r="19" spans="1:9" x14ac:dyDescent="0.25">
      <c r="A19" s="73" t="s">
        <v>1081</v>
      </c>
      <c r="B19" s="121">
        <f>'Auxiliar de Manutenção'!K132</f>
        <v>35.788113856593796</v>
      </c>
      <c r="C19" s="122">
        <v>32</v>
      </c>
      <c r="D19" s="123">
        <f t="shared" si="4"/>
        <v>36.799999999999997</v>
      </c>
      <c r="E19" s="122">
        <f t="shared" si="7"/>
        <v>441.59999999999997</v>
      </c>
      <c r="F19" s="124">
        <f t="shared" si="5"/>
        <v>1317.0025899226516</v>
      </c>
      <c r="G19" s="125">
        <f>0.3*F19*1.5</f>
        <v>592.65116546519323</v>
      </c>
      <c r="H19" s="125">
        <f>F19*2*0.15</f>
        <v>395.10077697679549</v>
      </c>
      <c r="I19" s="126">
        <f t="shared" si="6"/>
        <v>987.75194244198872</v>
      </c>
    </row>
    <row r="20" spans="1:9" x14ac:dyDescent="0.25">
      <c r="A20" s="167" t="s">
        <v>1089</v>
      </c>
      <c r="B20" s="167"/>
      <c r="C20" s="167"/>
      <c r="D20" s="167"/>
      <c r="E20" s="167"/>
      <c r="F20" s="167"/>
      <c r="G20" s="167"/>
      <c r="H20" s="167"/>
      <c r="I20" s="127">
        <f>SUM(I14:I19)</f>
        <v>8178.4671431507313</v>
      </c>
    </row>
    <row r="21" spans="1:9" x14ac:dyDescent="0.25">
      <c r="A21" s="167" t="s">
        <v>1082</v>
      </c>
      <c r="B21" s="167"/>
      <c r="C21" s="167"/>
      <c r="D21" s="167"/>
      <c r="E21" s="167"/>
      <c r="F21" s="167"/>
      <c r="G21" s="167"/>
      <c r="H21" s="167"/>
      <c r="I21" s="128">
        <f>I20*12</f>
        <v>98141.605717808779</v>
      </c>
    </row>
    <row r="22" spans="1:9" x14ac:dyDescent="0.25">
      <c r="A22" s="168" t="s">
        <v>1083</v>
      </c>
      <c r="B22" s="168"/>
      <c r="C22" s="168"/>
      <c r="D22" s="168"/>
      <c r="E22" s="168"/>
      <c r="F22" s="168"/>
      <c r="G22" s="168"/>
      <c r="H22" s="168"/>
      <c r="I22" s="168"/>
    </row>
    <row r="23" spans="1:9" x14ac:dyDescent="0.25">
      <c r="A23" s="168"/>
      <c r="B23" s="168"/>
      <c r="C23" s="168"/>
      <c r="D23" s="168"/>
      <c r="E23" s="168"/>
      <c r="F23" s="168"/>
      <c r="G23" s="168"/>
      <c r="H23" s="168"/>
      <c r="I23" s="168"/>
    </row>
  </sheetData>
  <mergeCells count="6">
    <mergeCell ref="A20:H20"/>
    <mergeCell ref="A21:H21"/>
    <mergeCell ref="A22:I23"/>
    <mergeCell ref="A8:H8"/>
    <mergeCell ref="A9:H9"/>
    <mergeCell ref="A10:I11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12B04-3173-48DE-8599-A499E7CFFC2E}">
  <dimension ref="A1:U16"/>
  <sheetViews>
    <sheetView topLeftCell="E1" workbookViewId="0">
      <selection activeCell="T3" sqref="T3:U3"/>
    </sheetView>
  </sheetViews>
  <sheetFormatPr defaultRowHeight="15" x14ac:dyDescent="0.25"/>
  <cols>
    <col min="2" max="2" width="25" bestFit="1" customWidth="1"/>
    <col min="6" max="6" width="25" bestFit="1" customWidth="1"/>
    <col min="7" max="7" width="19.28515625" customWidth="1"/>
    <col min="8" max="8" width="21.140625" customWidth="1"/>
    <col min="9" max="9" width="19.5703125" customWidth="1"/>
    <col min="14" max="14" width="25" bestFit="1" customWidth="1"/>
    <col min="18" max="18" width="25" bestFit="1" customWidth="1"/>
    <col min="20" max="20" width="24.85546875" customWidth="1"/>
    <col min="21" max="21" width="18.42578125" customWidth="1"/>
  </cols>
  <sheetData>
    <row r="1" spans="1:21" x14ac:dyDescent="0.25">
      <c r="A1" s="260" t="s">
        <v>0</v>
      </c>
      <c r="B1" s="260"/>
      <c r="C1" s="260"/>
      <c r="D1" s="260"/>
      <c r="E1" s="260"/>
      <c r="F1" s="260"/>
      <c r="G1" s="260"/>
      <c r="H1" s="260"/>
      <c r="I1" s="260"/>
      <c r="M1" s="260" t="s">
        <v>0</v>
      </c>
      <c r="N1" s="260"/>
      <c r="O1" s="260"/>
      <c r="P1" s="260"/>
      <c r="Q1" s="260"/>
      <c r="R1" s="260"/>
      <c r="S1" s="260"/>
      <c r="T1" s="260"/>
      <c r="U1" s="260"/>
    </row>
    <row r="2" spans="1:21" x14ac:dyDescent="0.25">
      <c r="A2" s="260" t="s">
        <v>1</v>
      </c>
      <c r="B2" s="260"/>
      <c r="C2" s="260"/>
      <c r="D2" s="260"/>
      <c r="E2" s="260"/>
      <c r="F2" s="260"/>
      <c r="G2" s="260"/>
      <c r="H2" s="260" t="s">
        <v>2</v>
      </c>
      <c r="I2" s="260"/>
      <c r="M2" s="260" t="s">
        <v>1</v>
      </c>
      <c r="N2" s="260"/>
      <c r="O2" s="260"/>
      <c r="P2" s="260"/>
      <c r="Q2" s="260"/>
      <c r="R2" s="260"/>
      <c r="S2" s="260"/>
      <c r="T2" s="260" t="s">
        <v>859</v>
      </c>
      <c r="U2" s="260"/>
    </row>
    <row r="3" spans="1:21" ht="58.5" customHeight="1" x14ac:dyDescent="0.25">
      <c r="A3" s="254" t="s">
        <v>4</v>
      </c>
      <c r="B3" s="254"/>
      <c r="C3" s="254"/>
      <c r="D3" s="254"/>
      <c r="E3" s="254"/>
      <c r="F3" s="254"/>
      <c r="G3" s="254"/>
      <c r="H3" s="261" t="s">
        <v>33</v>
      </c>
      <c r="I3" s="261"/>
      <c r="M3" s="254" t="s">
        <v>4</v>
      </c>
      <c r="N3" s="254"/>
      <c r="O3" s="254"/>
      <c r="P3" s="254"/>
      <c r="Q3" s="254"/>
      <c r="R3" s="254"/>
      <c r="S3" s="254"/>
      <c r="T3" s="261" t="s">
        <v>33</v>
      </c>
      <c r="U3" s="261"/>
    </row>
    <row r="4" spans="1:21" ht="36.75" customHeight="1" x14ac:dyDescent="0.25">
      <c r="A4" s="256" t="s">
        <v>5</v>
      </c>
      <c r="B4" s="256"/>
      <c r="C4" s="256" t="s">
        <v>6</v>
      </c>
      <c r="D4" s="256"/>
      <c r="E4" s="256"/>
      <c r="F4" s="257" t="s">
        <v>7</v>
      </c>
      <c r="G4" s="257"/>
      <c r="H4" s="257" t="s">
        <v>8</v>
      </c>
      <c r="I4" s="258">
        <f>((((1+(G6+G7+G9))*(1+G8)*(1+G10))/(1-G11))-1)</f>
        <v>0.23342731623172752</v>
      </c>
      <c r="M4" s="256" t="s">
        <v>5</v>
      </c>
      <c r="N4" s="256"/>
      <c r="O4" s="256" t="s">
        <v>6</v>
      </c>
      <c r="P4" s="256"/>
      <c r="Q4" s="256"/>
      <c r="R4" s="257" t="s">
        <v>7</v>
      </c>
      <c r="S4" s="257"/>
      <c r="T4" s="257" t="s">
        <v>8</v>
      </c>
      <c r="U4" s="258">
        <f>((((1+(S6+S7+S9))*(1+S8)*(1+S10))/(1-S11))-1)</f>
        <v>0.2966079983380765</v>
      </c>
    </row>
    <row r="5" spans="1:21" ht="30" x14ac:dyDescent="0.25">
      <c r="A5" s="256"/>
      <c r="B5" s="256"/>
      <c r="C5" s="1" t="s">
        <v>9</v>
      </c>
      <c r="D5" s="1" t="s">
        <v>10</v>
      </c>
      <c r="E5" s="1" t="s">
        <v>11</v>
      </c>
      <c r="F5" s="257"/>
      <c r="G5" s="257"/>
      <c r="H5" s="257"/>
      <c r="I5" s="259"/>
      <c r="M5" s="256"/>
      <c r="N5" s="256"/>
      <c r="O5" s="1" t="s">
        <v>9</v>
      </c>
      <c r="P5" s="1" t="s">
        <v>10</v>
      </c>
      <c r="Q5" s="1" t="s">
        <v>11</v>
      </c>
      <c r="R5" s="257"/>
      <c r="S5" s="257"/>
      <c r="T5" s="257"/>
      <c r="U5" s="259"/>
    </row>
    <row r="6" spans="1:21" x14ac:dyDescent="0.25">
      <c r="A6" s="2">
        <v>1</v>
      </c>
      <c r="B6" s="2" t="s">
        <v>12</v>
      </c>
      <c r="C6" s="3">
        <v>8.0000000000000002E-3</v>
      </c>
      <c r="D6" s="3">
        <v>8.0000000000000002E-3</v>
      </c>
      <c r="E6" s="3">
        <v>0.01</v>
      </c>
      <c r="F6" s="4" t="s">
        <v>12</v>
      </c>
      <c r="G6" s="5">
        <v>8.0000000000000002E-3</v>
      </c>
      <c r="H6" s="247" t="s">
        <v>13</v>
      </c>
      <c r="I6" s="247"/>
      <c r="M6" s="2">
        <v>1</v>
      </c>
      <c r="N6" s="2" t="s">
        <v>12</v>
      </c>
      <c r="O6" s="3">
        <v>8.0000000000000002E-3</v>
      </c>
      <c r="P6" s="3">
        <v>8.0000000000000002E-3</v>
      </c>
      <c r="Q6" s="3">
        <v>0.01</v>
      </c>
      <c r="R6" s="4" t="s">
        <v>12</v>
      </c>
      <c r="S6" s="5">
        <v>8.0000000000000002E-3</v>
      </c>
      <c r="T6" s="247" t="s">
        <v>13</v>
      </c>
      <c r="U6" s="247"/>
    </row>
    <row r="7" spans="1:21" x14ac:dyDescent="0.25">
      <c r="A7" s="2">
        <v>2</v>
      </c>
      <c r="B7" s="2" t="s">
        <v>14</v>
      </c>
      <c r="C7" s="3">
        <v>9.7000000000000003E-3</v>
      </c>
      <c r="D7" s="3">
        <v>1.2699999999999999E-2</v>
      </c>
      <c r="E7" s="3">
        <v>1.2699999999999999E-2</v>
      </c>
      <c r="F7" s="4" t="s">
        <v>14</v>
      </c>
      <c r="G7" s="5">
        <v>9.7000000000000003E-3</v>
      </c>
      <c r="H7" s="247"/>
      <c r="I7" s="247"/>
      <c r="M7" s="2">
        <v>2</v>
      </c>
      <c r="N7" s="2" t="s">
        <v>14</v>
      </c>
      <c r="O7" s="3">
        <v>9.7000000000000003E-3</v>
      </c>
      <c r="P7" s="3">
        <v>1.2699999999999999E-2</v>
      </c>
      <c r="Q7" s="3">
        <v>1.2699999999999999E-2</v>
      </c>
      <c r="R7" s="4" t="s">
        <v>14</v>
      </c>
      <c r="S7" s="5">
        <v>9.7000000000000003E-3</v>
      </c>
      <c r="T7" s="247"/>
      <c r="U7" s="247"/>
    </row>
    <row r="8" spans="1:21" x14ac:dyDescent="0.25">
      <c r="A8" s="2">
        <v>3</v>
      </c>
      <c r="B8" s="2" t="s">
        <v>15</v>
      </c>
      <c r="C8" s="3">
        <v>5.8999999999999999E-3</v>
      </c>
      <c r="D8" s="3">
        <v>1.23E-2</v>
      </c>
      <c r="E8" s="3">
        <v>1.3899999999999999E-2</v>
      </c>
      <c r="F8" s="4" t="s">
        <v>15</v>
      </c>
      <c r="G8" s="5">
        <v>1.23E-2</v>
      </c>
      <c r="H8" s="247" t="s">
        <v>16</v>
      </c>
      <c r="I8" s="247"/>
      <c r="M8" s="2">
        <v>3</v>
      </c>
      <c r="N8" s="2" t="s">
        <v>15</v>
      </c>
      <c r="O8" s="3">
        <v>5.8999999999999999E-3</v>
      </c>
      <c r="P8" s="3">
        <v>1.23E-2</v>
      </c>
      <c r="Q8" s="3">
        <v>1.3899999999999999E-2</v>
      </c>
      <c r="R8" s="4" t="s">
        <v>15</v>
      </c>
      <c r="S8" s="5">
        <v>1.23E-2</v>
      </c>
      <c r="T8" s="247" t="s">
        <v>16</v>
      </c>
      <c r="U8" s="247"/>
    </row>
    <row r="9" spans="1:21" x14ac:dyDescent="0.25">
      <c r="A9" s="2">
        <v>4</v>
      </c>
      <c r="B9" s="2" t="s">
        <v>17</v>
      </c>
      <c r="C9" s="3">
        <v>0.03</v>
      </c>
      <c r="D9" s="3">
        <v>0.04</v>
      </c>
      <c r="E9" s="3">
        <v>5.5E-2</v>
      </c>
      <c r="F9" s="4" t="s">
        <v>17</v>
      </c>
      <c r="G9" s="5">
        <v>0.03</v>
      </c>
      <c r="H9" s="245" t="s">
        <v>18</v>
      </c>
      <c r="I9" s="245"/>
      <c r="M9" s="2">
        <v>4</v>
      </c>
      <c r="N9" s="2" t="s">
        <v>17</v>
      </c>
      <c r="O9" s="3">
        <v>0.03</v>
      </c>
      <c r="P9" s="3">
        <v>0.04</v>
      </c>
      <c r="Q9" s="3">
        <v>5.5E-2</v>
      </c>
      <c r="R9" s="4" t="s">
        <v>17</v>
      </c>
      <c r="S9" s="5">
        <v>0.03</v>
      </c>
      <c r="T9" s="245" t="s">
        <v>18</v>
      </c>
      <c r="U9" s="245"/>
    </row>
    <row r="10" spans="1:21" x14ac:dyDescent="0.25">
      <c r="A10" s="2">
        <v>5</v>
      </c>
      <c r="B10" s="2" t="s">
        <v>19</v>
      </c>
      <c r="C10" s="3">
        <v>6.1600000000000002E-2</v>
      </c>
      <c r="D10" s="3">
        <v>7.3999999999999996E-2</v>
      </c>
      <c r="E10" s="3">
        <v>8.9599999999999999E-2</v>
      </c>
      <c r="F10" s="4" t="s">
        <v>19</v>
      </c>
      <c r="G10" s="5">
        <v>7.3999999999999996E-2</v>
      </c>
      <c r="H10" s="253" t="s">
        <v>20</v>
      </c>
      <c r="I10" s="253"/>
      <c r="M10" s="2">
        <v>5</v>
      </c>
      <c r="N10" s="2" t="s">
        <v>19</v>
      </c>
      <c r="O10" s="3">
        <v>6.1600000000000002E-2</v>
      </c>
      <c r="P10" s="3">
        <v>7.3999999999999996E-2</v>
      </c>
      <c r="Q10" s="3">
        <v>8.9599999999999999E-2</v>
      </c>
      <c r="R10" s="4" t="s">
        <v>19</v>
      </c>
      <c r="S10" s="5">
        <v>7.3999999999999996E-2</v>
      </c>
      <c r="T10" s="253" t="s">
        <v>20</v>
      </c>
      <c r="U10" s="253"/>
    </row>
    <row r="11" spans="1:21" x14ac:dyDescent="0.25">
      <c r="A11" s="2">
        <v>6</v>
      </c>
      <c r="B11" s="2" t="s">
        <v>21</v>
      </c>
      <c r="C11" s="247" t="s">
        <v>22</v>
      </c>
      <c r="D11" s="247"/>
      <c r="E11" s="247"/>
      <c r="F11" s="4" t="s">
        <v>21</v>
      </c>
      <c r="G11" s="5">
        <f>(G12+G13+G14+G15)</f>
        <v>7.6499999999999999E-2</v>
      </c>
      <c r="H11" s="253"/>
      <c r="I11" s="253"/>
      <c r="M11" s="2">
        <v>6</v>
      </c>
      <c r="N11" s="2" t="s">
        <v>21</v>
      </c>
      <c r="O11" s="247" t="s">
        <v>22</v>
      </c>
      <c r="P11" s="247"/>
      <c r="Q11" s="247"/>
      <c r="R11" s="4" t="s">
        <v>21</v>
      </c>
      <c r="S11" s="5">
        <f>(S12+S13+S14+S15)</f>
        <v>0.1215</v>
      </c>
      <c r="T11" s="253"/>
      <c r="U11" s="253"/>
    </row>
    <row r="12" spans="1:21" x14ac:dyDescent="0.25">
      <c r="A12" s="2" t="s">
        <v>23</v>
      </c>
      <c r="B12" s="2" t="s">
        <v>24</v>
      </c>
      <c r="C12" s="247" t="s">
        <v>22</v>
      </c>
      <c r="D12" s="247"/>
      <c r="E12" s="247"/>
      <c r="F12" s="4" t="s">
        <v>24</v>
      </c>
      <c r="G12" s="5">
        <v>6.4999999999999997E-3</v>
      </c>
      <c r="H12" s="253"/>
      <c r="I12" s="253"/>
      <c r="M12" s="2" t="s">
        <v>23</v>
      </c>
      <c r="N12" s="2" t="s">
        <v>24</v>
      </c>
      <c r="O12" s="247" t="s">
        <v>22</v>
      </c>
      <c r="P12" s="247"/>
      <c r="Q12" s="247"/>
      <c r="R12" s="4" t="s">
        <v>24</v>
      </c>
      <c r="S12" s="5">
        <v>6.4999999999999997E-3</v>
      </c>
      <c r="T12" s="253"/>
      <c r="U12" s="253"/>
    </row>
    <row r="13" spans="1:21" x14ac:dyDescent="0.25">
      <c r="A13" s="2" t="s">
        <v>25</v>
      </c>
      <c r="B13" s="2" t="s">
        <v>26</v>
      </c>
      <c r="C13" s="247" t="s">
        <v>22</v>
      </c>
      <c r="D13" s="247"/>
      <c r="E13" s="247"/>
      <c r="F13" s="4" t="s">
        <v>26</v>
      </c>
      <c r="G13" s="5">
        <v>0.03</v>
      </c>
      <c r="H13" s="253"/>
      <c r="I13" s="253"/>
      <c r="M13" s="2" t="s">
        <v>25</v>
      </c>
      <c r="N13" s="2" t="s">
        <v>26</v>
      </c>
      <c r="O13" s="247" t="s">
        <v>22</v>
      </c>
      <c r="P13" s="247"/>
      <c r="Q13" s="247"/>
      <c r="R13" s="4" t="s">
        <v>26</v>
      </c>
      <c r="S13" s="5">
        <v>0.03</v>
      </c>
      <c r="T13" s="253"/>
      <c r="U13" s="253"/>
    </row>
    <row r="14" spans="1:21" x14ac:dyDescent="0.25">
      <c r="A14" s="2" t="s">
        <v>27</v>
      </c>
      <c r="B14" s="2" t="s">
        <v>28</v>
      </c>
      <c r="C14" s="247" t="s">
        <v>22</v>
      </c>
      <c r="D14" s="247"/>
      <c r="E14" s="247"/>
      <c r="F14" s="4" t="s">
        <v>28</v>
      </c>
      <c r="G14" s="5">
        <v>0.04</v>
      </c>
      <c r="H14" s="248" t="s">
        <v>29</v>
      </c>
      <c r="I14" s="249"/>
      <c r="M14" s="2" t="s">
        <v>27</v>
      </c>
      <c r="N14" s="2" t="s">
        <v>28</v>
      </c>
      <c r="O14" s="247" t="s">
        <v>22</v>
      </c>
      <c r="P14" s="247"/>
      <c r="Q14" s="247"/>
      <c r="R14" s="4" t="s">
        <v>28</v>
      </c>
      <c r="S14" s="5">
        <v>0.04</v>
      </c>
      <c r="T14" s="248" t="s">
        <v>29</v>
      </c>
      <c r="U14" s="249"/>
    </row>
    <row r="15" spans="1:21" x14ac:dyDescent="0.25">
      <c r="A15" s="2" t="s">
        <v>30</v>
      </c>
      <c r="B15" s="2" t="s">
        <v>31</v>
      </c>
      <c r="C15" s="252">
        <v>0</v>
      </c>
      <c r="D15" s="252"/>
      <c r="E15" s="252"/>
      <c r="F15" s="4" t="s">
        <v>31</v>
      </c>
      <c r="G15" s="5">
        <v>0</v>
      </c>
      <c r="H15" s="250"/>
      <c r="I15" s="251"/>
      <c r="M15" s="2" t="s">
        <v>30</v>
      </c>
      <c r="N15" s="2" t="s">
        <v>31</v>
      </c>
      <c r="O15" s="252">
        <v>0</v>
      </c>
      <c r="P15" s="252"/>
      <c r="Q15" s="252"/>
      <c r="R15" s="4" t="s">
        <v>31</v>
      </c>
      <c r="S15" s="5">
        <v>4.4999999999999998E-2</v>
      </c>
      <c r="T15" s="250"/>
      <c r="U15" s="251"/>
    </row>
    <row r="16" spans="1:21" x14ac:dyDescent="0.25">
      <c r="A16" s="246" t="s">
        <v>34</v>
      </c>
      <c r="B16" s="246"/>
      <c r="C16" s="246"/>
      <c r="D16" s="246"/>
      <c r="E16" s="246"/>
      <c r="F16" s="246"/>
      <c r="G16" s="246"/>
      <c r="H16" s="246"/>
      <c r="I16" s="246"/>
    </row>
  </sheetData>
  <mergeCells count="41">
    <mergeCell ref="A1:I1"/>
    <mergeCell ref="M1:U1"/>
    <mergeCell ref="A2:G2"/>
    <mergeCell ref="H2:I2"/>
    <mergeCell ref="M2:S2"/>
    <mergeCell ref="T2:U2"/>
    <mergeCell ref="A3:G3"/>
    <mergeCell ref="H3:I3"/>
    <mergeCell ref="M3:S3"/>
    <mergeCell ref="T3:U3"/>
    <mergeCell ref="A4:B5"/>
    <mergeCell ref="C4:E4"/>
    <mergeCell ref="F4:G5"/>
    <mergeCell ref="H4:H5"/>
    <mergeCell ref="I4:I5"/>
    <mergeCell ref="M4:N5"/>
    <mergeCell ref="O4:Q4"/>
    <mergeCell ref="R4:S5"/>
    <mergeCell ref="T4:T5"/>
    <mergeCell ref="U4:U5"/>
    <mergeCell ref="H6:I7"/>
    <mergeCell ref="T6:U7"/>
    <mergeCell ref="H8:I8"/>
    <mergeCell ref="T8:U8"/>
    <mergeCell ref="H9:I9"/>
    <mergeCell ref="T9:U9"/>
    <mergeCell ref="H10:I13"/>
    <mergeCell ref="T10:U13"/>
    <mergeCell ref="C11:E11"/>
    <mergeCell ref="O11:Q11"/>
    <mergeCell ref="C12:E12"/>
    <mergeCell ref="O12:Q12"/>
    <mergeCell ref="C13:E13"/>
    <mergeCell ref="O13:Q13"/>
    <mergeCell ref="A16:I16"/>
    <mergeCell ref="C14:E14"/>
    <mergeCell ref="H14:I15"/>
    <mergeCell ref="O14:Q14"/>
    <mergeCell ref="T14:U15"/>
    <mergeCell ref="C15:E15"/>
    <mergeCell ref="O15:Q15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44743-A1B3-4519-89CC-CE0F9A674098}">
  <dimension ref="A1:U15"/>
  <sheetViews>
    <sheetView workbookViewId="0">
      <selection activeCell="I19" sqref="I19"/>
    </sheetView>
  </sheetViews>
  <sheetFormatPr defaultRowHeight="15" x14ac:dyDescent="0.25"/>
  <cols>
    <col min="6" max="6" width="25" bestFit="1" customWidth="1"/>
    <col min="8" max="8" width="24.28515625" customWidth="1"/>
    <col min="9" max="9" width="16.28515625" customWidth="1"/>
    <col min="18" max="18" width="25" bestFit="1" customWidth="1"/>
    <col min="20" max="20" width="18" customWidth="1"/>
    <col min="21" max="21" width="24" customWidth="1"/>
  </cols>
  <sheetData>
    <row r="1" spans="1:21" x14ac:dyDescent="0.25">
      <c r="A1" s="260" t="s">
        <v>0</v>
      </c>
      <c r="B1" s="260"/>
      <c r="C1" s="260"/>
      <c r="D1" s="260"/>
      <c r="E1" s="260"/>
      <c r="F1" s="260"/>
      <c r="G1" s="260"/>
      <c r="H1" s="260"/>
      <c r="I1" s="260"/>
      <c r="M1" s="260" t="s">
        <v>0</v>
      </c>
      <c r="N1" s="260"/>
      <c r="O1" s="260"/>
      <c r="P1" s="260"/>
      <c r="Q1" s="260"/>
      <c r="R1" s="260"/>
      <c r="S1" s="260"/>
      <c r="T1" s="260"/>
      <c r="U1" s="260"/>
    </row>
    <row r="2" spans="1:21" x14ac:dyDescent="0.25">
      <c r="A2" s="260" t="s">
        <v>1</v>
      </c>
      <c r="B2" s="260"/>
      <c r="C2" s="260"/>
      <c r="D2" s="260"/>
      <c r="E2" s="260"/>
      <c r="F2" s="260"/>
      <c r="G2" s="260"/>
      <c r="H2" s="260" t="s">
        <v>2</v>
      </c>
      <c r="I2" s="260"/>
      <c r="M2" s="260" t="s">
        <v>1</v>
      </c>
      <c r="N2" s="260"/>
      <c r="O2" s="260"/>
      <c r="P2" s="260"/>
      <c r="Q2" s="260"/>
      <c r="R2" s="260"/>
      <c r="S2" s="260"/>
      <c r="T2" s="260" t="s">
        <v>3</v>
      </c>
      <c r="U2" s="260"/>
    </row>
    <row r="3" spans="1:21" ht="76.5" customHeight="1" x14ac:dyDescent="0.25">
      <c r="A3" s="254" t="s">
        <v>4</v>
      </c>
      <c r="B3" s="254"/>
      <c r="C3" s="254"/>
      <c r="D3" s="254"/>
      <c r="E3" s="254"/>
      <c r="F3" s="254"/>
      <c r="G3" s="254"/>
      <c r="H3" s="255" t="s">
        <v>1138</v>
      </c>
      <c r="I3" s="255"/>
      <c r="M3" s="254" t="s">
        <v>4</v>
      </c>
      <c r="N3" s="254"/>
      <c r="O3" s="254"/>
      <c r="P3" s="254"/>
      <c r="Q3" s="254"/>
      <c r="R3" s="254"/>
      <c r="S3" s="254"/>
      <c r="T3" s="255" t="s">
        <v>1139</v>
      </c>
      <c r="U3" s="255"/>
    </row>
    <row r="4" spans="1:21" ht="39" customHeight="1" x14ac:dyDescent="0.25">
      <c r="A4" s="256" t="s">
        <v>5</v>
      </c>
      <c r="B4" s="256"/>
      <c r="C4" s="256" t="s">
        <v>6</v>
      </c>
      <c r="D4" s="256"/>
      <c r="E4" s="256"/>
      <c r="F4" s="257" t="s">
        <v>7</v>
      </c>
      <c r="G4" s="257"/>
      <c r="H4" s="257" t="s">
        <v>8</v>
      </c>
      <c r="I4" s="258">
        <f>((((1+(G6+G7+G9))*(1+G8)*(1+G10))/(1-G11))-1)</f>
        <v>0.12615584915412548</v>
      </c>
      <c r="M4" s="256" t="s">
        <v>5</v>
      </c>
      <c r="N4" s="256"/>
      <c r="O4" s="256" t="s">
        <v>6</v>
      </c>
      <c r="P4" s="256"/>
      <c r="Q4" s="256"/>
      <c r="R4" s="257" t="s">
        <v>7</v>
      </c>
      <c r="S4" s="257"/>
      <c r="T4" s="257" t="s">
        <v>8</v>
      </c>
      <c r="U4" s="258">
        <f>((((1+(S6+S7+S9))*(1+S8)*(1+S10))/(1-S11))-1)</f>
        <v>0.18132951623298865</v>
      </c>
    </row>
    <row r="5" spans="1:21" ht="30" x14ac:dyDescent="0.25">
      <c r="A5" s="256"/>
      <c r="B5" s="256"/>
      <c r="C5" s="1" t="s">
        <v>9</v>
      </c>
      <c r="D5" s="1" t="s">
        <v>10</v>
      </c>
      <c r="E5" s="1" t="s">
        <v>11</v>
      </c>
      <c r="F5" s="257"/>
      <c r="G5" s="257"/>
      <c r="H5" s="257"/>
      <c r="I5" s="259"/>
      <c r="M5" s="256"/>
      <c r="N5" s="256"/>
      <c r="O5" s="1" t="s">
        <v>9</v>
      </c>
      <c r="P5" s="1" t="s">
        <v>10</v>
      </c>
      <c r="Q5" s="1" t="s">
        <v>11</v>
      </c>
      <c r="R5" s="257"/>
      <c r="S5" s="257"/>
      <c r="T5" s="257"/>
      <c r="U5" s="259"/>
    </row>
    <row r="6" spans="1:21" x14ac:dyDescent="0.25">
      <c r="A6" s="2">
        <v>1</v>
      </c>
      <c r="B6" s="2" t="s">
        <v>12</v>
      </c>
      <c r="C6" s="3">
        <v>3.0000000000000001E-3</v>
      </c>
      <c r="D6" s="3">
        <v>4.7999999999999996E-3</v>
      </c>
      <c r="E6" s="3">
        <v>8.2000000000000007E-3</v>
      </c>
      <c r="F6" s="4" t="s">
        <v>12</v>
      </c>
      <c r="G6" s="5">
        <v>3.0000000000000001E-3</v>
      </c>
      <c r="H6" s="247" t="s">
        <v>13</v>
      </c>
      <c r="I6" s="247"/>
      <c r="M6" s="2">
        <v>1</v>
      </c>
      <c r="N6" s="2" t="s">
        <v>12</v>
      </c>
      <c r="O6" s="3">
        <v>3.0000000000000001E-3</v>
      </c>
      <c r="P6" s="3">
        <v>4.7999999999999996E-3</v>
      </c>
      <c r="Q6" s="3">
        <v>8.2000000000000007E-3</v>
      </c>
      <c r="R6" s="4" t="s">
        <v>12</v>
      </c>
      <c r="S6" s="5">
        <v>3.0000000000000001E-3</v>
      </c>
      <c r="T6" s="247" t="s">
        <v>13</v>
      </c>
      <c r="U6" s="247"/>
    </row>
    <row r="7" spans="1:21" x14ac:dyDescent="0.25">
      <c r="A7" s="2">
        <v>2</v>
      </c>
      <c r="B7" s="2" t="s">
        <v>14</v>
      </c>
      <c r="C7" s="3">
        <v>5.5999999999999999E-3</v>
      </c>
      <c r="D7" s="3">
        <v>8.5000000000000006E-3</v>
      </c>
      <c r="E7" s="3">
        <v>8.8999999999999999E-3</v>
      </c>
      <c r="F7" s="4" t="s">
        <v>14</v>
      </c>
      <c r="G7" s="5">
        <v>5.5999999999999999E-3</v>
      </c>
      <c r="H7" s="247"/>
      <c r="I7" s="247"/>
      <c r="M7" s="2">
        <v>2</v>
      </c>
      <c r="N7" s="2" t="s">
        <v>14</v>
      </c>
      <c r="O7" s="3">
        <v>5.5999999999999999E-3</v>
      </c>
      <c r="P7" s="3">
        <v>8.5000000000000006E-3</v>
      </c>
      <c r="Q7" s="3">
        <v>8.8999999999999999E-3</v>
      </c>
      <c r="R7" s="4" t="s">
        <v>14</v>
      </c>
      <c r="S7" s="5">
        <v>5.5999999999999999E-3</v>
      </c>
      <c r="T7" s="247"/>
      <c r="U7" s="247"/>
    </row>
    <row r="8" spans="1:21" x14ac:dyDescent="0.25">
      <c r="A8" s="2">
        <v>3</v>
      </c>
      <c r="B8" s="2" t="s">
        <v>15</v>
      </c>
      <c r="C8" s="3">
        <v>8.5000000000000006E-3</v>
      </c>
      <c r="D8" s="3">
        <v>8.5000000000000006E-3</v>
      </c>
      <c r="E8" s="3">
        <v>1.11E-2</v>
      </c>
      <c r="F8" s="4" t="s">
        <v>15</v>
      </c>
      <c r="G8" s="5">
        <v>8.5000000000000006E-3</v>
      </c>
      <c r="H8" s="247" t="s">
        <v>16</v>
      </c>
      <c r="I8" s="247"/>
      <c r="M8" s="2">
        <v>3</v>
      </c>
      <c r="N8" s="2" t="s">
        <v>15</v>
      </c>
      <c r="O8" s="3">
        <v>8.5000000000000006E-3</v>
      </c>
      <c r="P8" s="3">
        <v>8.5000000000000006E-3</v>
      </c>
      <c r="Q8" s="3">
        <v>1.11E-2</v>
      </c>
      <c r="R8" s="4" t="s">
        <v>15</v>
      </c>
      <c r="S8" s="5">
        <v>8.5000000000000006E-3</v>
      </c>
      <c r="T8" s="247" t="s">
        <v>16</v>
      </c>
      <c r="U8" s="247"/>
    </row>
    <row r="9" spans="1:21" x14ac:dyDescent="0.25">
      <c r="A9" s="2">
        <v>4</v>
      </c>
      <c r="B9" s="2" t="s">
        <v>17</v>
      </c>
      <c r="C9" s="3">
        <v>1.4999999999999999E-2</v>
      </c>
      <c r="D9" s="3">
        <v>3.4500000000000003E-2</v>
      </c>
      <c r="E9" s="3">
        <v>4.4900000000000002E-2</v>
      </c>
      <c r="F9" s="4" t="s">
        <v>17</v>
      </c>
      <c r="G9" s="5">
        <v>1.4999999999999999E-2</v>
      </c>
      <c r="H9" s="245" t="s">
        <v>18</v>
      </c>
      <c r="I9" s="245"/>
      <c r="M9" s="2">
        <v>4</v>
      </c>
      <c r="N9" s="2" t="s">
        <v>17</v>
      </c>
      <c r="O9" s="3">
        <v>1.4999999999999999E-2</v>
      </c>
      <c r="P9" s="3">
        <v>3.4500000000000003E-2</v>
      </c>
      <c r="Q9" s="3">
        <v>4.4900000000000002E-2</v>
      </c>
      <c r="R9" s="4" t="s">
        <v>17</v>
      </c>
      <c r="S9" s="5">
        <v>1.4999999999999999E-2</v>
      </c>
      <c r="T9" s="245" t="s">
        <v>18</v>
      </c>
      <c r="U9" s="245"/>
    </row>
    <row r="10" spans="1:21" x14ac:dyDescent="0.25">
      <c r="A10" s="2">
        <v>5</v>
      </c>
      <c r="B10" s="2" t="s">
        <v>19</v>
      </c>
      <c r="C10" s="3">
        <v>3.5000000000000003E-2</v>
      </c>
      <c r="D10" s="3">
        <v>5.11E-2</v>
      </c>
      <c r="E10" s="3">
        <v>6.2199999999999998E-2</v>
      </c>
      <c r="F10" s="4" t="s">
        <v>19</v>
      </c>
      <c r="G10" s="5">
        <v>5.11E-2</v>
      </c>
      <c r="H10" s="253" t="s">
        <v>20</v>
      </c>
      <c r="I10" s="253"/>
      <c r="M10" s="2">
        <v>5</v>
      </c>
      <c r="N10" s="2" t="s">
        <v>19</v>
      </c>
      <c r="O10" s="3">
        <v>3.5000000000000003E-2</v>
      </c>
      <c r="P10" s="3">
        <v>5.11E-2</v>
      </c>
      <c r="Q10" s="3">
        <v>6.2199999999999998E-2</v>
      </c>
      <c r="R10" s="4" t="s">
        <v>19</v>
      </c>
      <c r="S10" s="5">
        <v>5.11E-2</v>
      </c>
      <c r="T10" s="253" t="s">
        <v>20</v>
      </c>
      <c r="U10" s="253"/>
    </row>
    <row r="11" spans="1:21" x14ac:dyDescent="0.25">
      <c r="A11" s="2">
        <v>6</v>
      </c>
      <c r="B11" s="2" t="s">
        <v>21</v>
      </c>
      <c r="C11" s="247" t="s">
        <v>22</v>
      </c>
      <c r="D11" s="247"/>
      <c r="E11" s="247"/>
      <c r="F11" s="4" t="s">
        <v>21</v>
      </c>
      <c r="G11" s="5">
        <f>(G12+G13+G14+G15)</f>
        <v>3.6499999999999998E-2</v>
      </c>
      <c r="H11" s="253"/>
      <c r="I11" s="253"/>
      <c r="M11" s="2">
        <v>6</v>
      </c>
      <c r="N11" s="2" t="s">
        <v>21</v>
      </c>
      <c r="O11" s="247" t="s">
        <v>22</v>
      </c>
      <c r="P11" s="247"/>
      <c r="Q11" s="247"/>
      <c r="R11" s="4" t="s">
        <v>21</v>
      </c>
      <c r="S11" s="5">
        <f>(S12+S13+S14+S15)</f>
        <v>8.1499999999999989E-2</v>
      </c>
      <c r="T11" s="253"/>
      <c r="U11" s="253"/>
    </row>
    <row r="12" spans="1:21" x14ac:dyDescent="0.25">
      <c r="A12" s="2" t="s">
        <v>23</v>
      </c>
      <c r="B12" s="2" t="s">
        <v>24</v>
      </c>
      <c r="C12" s="247" t="s">
        <v>22</v>
      </c>
      <c r="D12" s="247"/>
      <c r="E12" s="247"/>
      <c r="F12" s="4" t="s">
        <v>24</v>
      </c>
      <c r="G12" s="5">
        <v>6.4999999999999997E-3</v>
      </c>
      <c r="H12" s="253"/>
      <c r="I12" s="253"/>
      <c r="M12" s="2" t="s">
        <v>23</v>
      </c>
      <c r="N12" s="2" t="s">
        <v>24</v>
      </c>
      <c r="O12" s="247" t="s">
        <v>22</v>
      </c>
      <c r="P12" s="247"/>
      <c r="Q12" s="247"/>
      <c r="R12" s="4" t="s">
        <v>24</v>
      </c>
      <c r="S12" s="5">
        <v>6.4999999999999997E-3</v>
      </c>
      <c r="T12" s="253"/>
      <c r="U12" s="253"/>
    </row>
    <row r="13" spans="1:21" x14ac:dyDescent="0.25">
      <c r="A13" s="2" t="s">
        <v>25</v>
      </c>
      <c r="B13" s="2" t="s">
        <v>26</v>
      </c>
      <c r="C13" s="247" t="s">
        <v>22</v>
      </c>
      <c r="D13" s="247"/>
      <c r="E13" s="247"/>
      <c r="F13" s="4" t="s">
        <v>26</v>
      </c>
      <c r="G13" s="5">
        <v>0.03</v>
      </c>
      <c r="H13" s="253"/>
      <c r="I13" s="253"/>
      <c r="M13" s="2" t="s">
        <v>25</v>
      </c>
      <c r="N13" s="2" t="s">
        <v>26</v>
      </c>
      <c r="O13" s="247" t="s">
        <v>22</v>
      </c>
      <c r="P13" s="247"/>
      <c r="Q13" s="247"/>
      <c r="R13" s="4" t="s">
        <v>26</v>
      </c>
      <c r="S13" s="5">
        <v>0.03</v>
      </c>
      <c r="T13" s="253"/>
      <c r="U13" s="253"/>
    </row>
    <row r="14" spans="1:21" x14ac:dyDescent="0.25">
      <c r="A14" s="2" t="s">
        <v>27</v>
      </c>
      <c r="B14" s="2" t="s">
        <v>28</v>
      </c>
      <c r="C14" s="247" t="s">
        <v>22</v>
      </c>
      <c r="D14" s="247"/>
      <c r="E14" s="247"/>
      <c r="F14" s="4" t="s">
        <v>28</v>
      </c>
      <c r="G14" s="5">
        <v>0</v>
      </c>
      <c r="H14" s="248" t="s">
        <v>29</v>
      </c>
      <c r="I14" s="249"/>
      <c r="M14" s="2" t="s">
        <v>27</v>
      </c>
      <c r="N14" s="2" t="s">
        <v>28</v>
      </c>
      <c r="O14" s="247" t="s">
        <v>22</v>
      </c>
      <c r="P14" s="247"/>
      <c r="Q14" s="247"/>
      <c r="R14" s="4" t="s">
        <v>28</v>
      </c>
      <c r="S14" s="5">
        <v>0</v>
      </c>
      <c r="T14" s="248" t="s">
        <v>29</v>
      </c>
      <c r="U14" s="249"/>
    </row>
    <row r="15" spans="1:21" x14ac:dyDescent="0.25">
      <c r="A15" s="2" t="s">
        <v>30</v>
      </c>
      <c r="B15" s="2" t="s">
        <v>31</v>
      </c>
      <c r="C15" s="252">
        <v>0</v>
      </c>
      <c r="D15" s="252"/>
      <c r="E15" s="252"/>
      <c r="F15" s="4" t="s">
        <v>31</v>
      </c>
      <c r="G15" s="5">
        <v>0</v>
      </c>
      <c r="H15" s="250"/>
      <c r="I15" s="251"/>
      <c r="M15" s="2" t="s">
        <v>30</v>
      </c>
      <c r="N15" s="2" t="s">
        <v>31</v>
      </c>
      <c r="O15" s="252">
        <v>0</v>
      </c>
      <c r="P15" s="252"/>
      <c r="Q15" s="252"/>
      <c r="R15" s="4" t="s">
        <v>31</v>
      </c>
      <c r="S15" s="5">
        <v>4.4999999999999998E-2</v>
      </c>
      <c r="T15" s="250"/>
      <c r="U15" s="251"/>
    </row>
  </sheetData>
  <mergeCells count="40">
    <mergeCell ref="A1:I1"/>
    <mergeCell ref="M1:U1"/>
    <mergeCell ref="A2:G2"/>
    <mergeCell ref="H2:I2"/>
    <mergeCell ref="M2:S2"/>
    <mergeCell ref="T2:U2"/>
    <mergeCell ref="A3:G3"/>
    <mergeCell ref="H3:I3"/>
    <mergeCell ref="M3:S3"/>
    <mergeCell ref="T3:U3"/>
    <mergeCell ref="A4:B5"/>
    <mergeCell ref="C4:E4"/>
    <mergeCell ref="F4:G5"/>
    <mergeCell ref="H4:H5"/>
    <mergeCell ref="I4:I5"/>
    <mergeCell ref="M4:N5"/>
    <mergeCell ref="O4:Q4"/>
    <mergeCell ref="R4:S5"/>
    <mergeCell ref="T4:T5"/>
    <mergeCell ref="U4:U5"/>
    <mergeCell ref="H6:I7"/>
    <mergeCell ref="T6:U7"/>
    <mergeCell ref="H8:I8"/>
    <mergeCell ref="T8:U8"/>
    <mergeCell ref="H9:I9"/>
    <mergeCell ref="T9:U9"/>
    <mergeCell ref="H10:I13"/>
    <mergeCell ref="T10:U13"/>
    <mergeCell ref="C11:E11"/>
    <mergeCell ref="O11:Q11"/>
    <mergeCell ref="C12:E12"/>
    <mergeCell ref="O12:Q12"/>
    <mergeCell ref="C13:E13"/>
    <mergeCell ref="O13:Q13"/>
    <mergeCell ref="C14:E14"/>
    <mergeCell ref="H14:I15"/>
    <mergeCell ref="O14:Q14"/>
    <mergeCell ref="T14:U15"/>
    <mergeCell ref="C15:E15"/>
    <mergeCell ref="O15:Q15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49D1C-4900-45F1-AE07-1964D3BBEC5F}">
  <dimension ref="A1:L9"/>
  <sheetViews>
    <sheetView workbookViewId="0">
      <selection activeCell="F17" sqref="F17"/>
    </sheetView>
  </sheetViews>
  <sheetFormatPr defaultRowHeight="15" x14ac:dyDescent="0.25"/>
  <cols>
    <col min="2" max="2" width="25.42578125" customWidth="1"/>
    <col min="5" max="5" width="10.5703125" bestFit="1" customWidth="1"/>
    <col min="6" max="6" width="18.28515625" bestFit="1" customWidth="1"/>
    <col min="7" max="7" width="9.5703125" bestFit="1" customWidth="1"/>
    <col min="8" max="8" width="17.85546875" customWidth="1"/>
    <col min="9" max="9" width="9.5703125" bestFit="1" customWidth="1"/>
    <col min="10" max="10" width="17.85546875" customWidth="1"/>
    <col min="11" max="11" width="10.5703125" bestFit="1" customWidth="1"/>
    <col min="12" max="12" width="9.5703125" bestFit="1" customWidth="1"/>
  </cols>
  <sheetData>
    <row r="1" spans="1:12" ht="15.75" thickBot="1" x14ac:dyDescent="0.3">
      <c r="A1" s="263" t="s">
        <v>161</v>
      </c>
      <c r="B1" s="264"/>
      <c r="C1" s="264"/>
      <c r="D1" s="264"/>
      <c r="E1" s="264"/>
      <c r="F1" s="262" t="s">
        <v>162</v>
      </c>
      <c r="G1" s="262"/>
      <c r="H1" s="262" t="s">
        <v>163</v>
      </c>
      <c r="I1" s="262"/>
      <c r="J1" s="262" t="s">
        <v>164</v>
      </c>
      <c r="K1" s="262"/>
      <c r="L1" s="67"/>
    </row>
    <row r="2" spans="1:12" ht="30" x14ac:dyDescent="0.25">
      <c r="A2" s="55" t="s">
        <v>165</v>
      </c>
      <c r="B2" s="56" t="s">
        <v>166</v>
      </c>
      <c r="C2" s="56" t="s">
        <v>167</v>
      </c>
      <c r="D2" s="56" t="s">
        <v>168</v>
      </c>
      <c r="E2" s="57" t="s">
        <v>141</v>
      </c>
      <c r="F2" s="58" t="s">
        <v>178</v>
      </c>
      <c r="G2" s="58" t="s">
        <v>169</v>
      </c>
      <c r="H2" s="58" t="s">
        <v>178</v>
      </c>
      <c r="I2" s="58" t="s">
        <v>169</v>
      </c>
      <c r="J2" s="58" t="s">
        <v>178</v>
      </c>
      <c r="K2" s="58" t="s">
        <v>169</v>
      </c>
      <c r="L2" s="68" t="s">
        <v>170</v>
      </c>
    </row>
    <row r="3" spans="1:12" ht="58.5" customHeight="1" x14ac:dyDescent="0.25">
      <c r="A3" s="59">
        <v>1</v>
      </c>
      <c r="B3" s="60" t="s">
        <v>171</v>
      </c>
      <c r="C3" s="61">
        <v>8</v>
      </c>
      <c r="D3" s="62">
        <f>L3</f>
        <v>19.483333333333334</v>
      </c>
      <c r="E3" s="63">
        <f>C3*D3</f>
        <v>155.86666666666667</v>
      </c>
      <c r="F3" s="73" t="s">
        <v>179</v>
      </c>
      <c r="G3" s="48">
        <v>12.95</v>
      </c>
      <c r="H3" s="73" t="s">
        <v>180</v>
      </c>
      <c r="I3" s="48">
        <v>32</v>
      </c>
      <c r="J3" s="73" t="s">
        <v>181</v>
      </c>
      <c r="K3" s="48">
        <v>13.5</v>
      </c>
      <c r="L3" s="51">
        <f>(G3+I3+K3)/3</f>
        <v>19.483333333333334</v>
      </c>
    </row>
    <row r="4" spans="1:12" ht="60" x14ac:dyDescent="0.25">
      <c r="A4" s="59">
        <v>2</v>
      </c>
      <c r="B4" s="64" t="s">
        <v>172</v>
      </c>
      <c r="C4" s="65">
        <v>2</v>
      </c>
      <c r="D4" s="62">
        <f>L4</f>
        <v>99.633333333333326</v>
      </c>
      <c r="E4" s="66">
        <f>C4*D4</f>
        <v>199.26666666666665</v>
      </c>
      <c r="F4" s="73" t="s">
        <v>182</v>
      </c>
      <c r="G4" s="48">
        <v>78.73</v>
      </c>
      <c r="H4" s="50" t="s">
        <v>183</v>
      </c>
      <c r="I4" s="49">
        <v>82.3</v>
      </c>
      <c r="J4" s="50" t="s">
        <v>184</v>
      </c>
      <c r="K4" s="49">
        <v>137.87</v>
      </c>
      <c r="L4" s="51">
        <f>(G4+I4+K4)/3</f>
        <v>99.633333333333326</v>
      </c>
    </row>
    <row r="5" spans="1:12" ht="45" x14ac:dyDescent="0.25">
      <c r="A5" s="59">
        <v>3</v>
      </c>
      <c r="B5" s="64" t="s">
        <v>173</v>
      </c>
      <c r="C5" s="65">
        <v>4</v>
      </c>
      <c r="D5" s="62">
        <f t="shared" ref="D5:D7" si="0">L5</f>
        <v>79.899999999999991</v>
      </c>
      <c r="E5" s="66">
        <f t="shared" ref="E5:E7" si="1">C5*D5</f>
        <v>319.59999999999997</v>
      </c>
      <c r="F5" s="73" t="s">
        <v>185</v>
      </c>
      <c r="G5" s="48">
        <v>74.7</v>
      </c>
      <c r="H5" s="50" t="s">
        <v>185</v>
      </c>
      <c r="I5" s="49">
        <v>75</v>
      </c>
      <c r="J5" s="50" t="s">
        <v>186</v>
      </c>
      <c r="K5" s="49">
        <v>90</v>
      </c>
      <c r="L5" s="51">
        <f t="shared" ref="L5:L7" si="2">(G5+I5+K5)/3</f>
        <v>79.899999999999991</v>
      </c>
    </row>
    <row r="6" spans="1:12" ht="60" x14ac:dyDescent="0.25">
      <c r="A6" s="59">
        <v>4</v>
      </c>
      <c r="B6" s="64" t="s">
        <v>174</v>
      </c>
      <c r="C6" s="65">
        <v>4</v>
      </c>
      <c r="D6" s="62">
        <f t="shared" si="0"/>
        <v>19.8</v>
      </c>
      <c r="E6" s="66">
        <f t="shared" si="1"/>
        <v>79.2</v>
      </c>
      <c r="F6" s="73" t="s">
        <v>187</v>
      </c>
      <c r="G6" s="48">
        <v>11</v>
      </c>
      <c r="H6" s="50" t="s">
        <v>188</v>
      </c>
      <c r="I6" s="49">
        <v>23.5</v>
      </c>
      <c r="J6" s="50" t="s">
        <v>189</v>
      </c>
      <c r="K6" s="49">
        <v>24.9</v>
      </c>
      <c r="L6" s="51">
        <f t="shared" si="2"/>
        <v>19.8</v>
      </c>
    </row>
    <row r="7" spans="1:12" ht="60" x14ac:dyDescent="0.25">
      <c r="A7" s="59">
        <v>5</v>
      </c>
      <c r="B7" s="64" t="s">
        <v>175</v>
      </c>
      <c r="C7" s="65">
        <v>2</v>
      </c>
      <c r="D7" s="62">
        <f t="shared" si="0"/>
        <v>75.166666666666671</v>
      </c>
      <c r="E7" s="66">
        <f t="shared" si="1"/>
        <v>150.33333333333334</v>
      </c>
      <c r="F7" s="73" t="s">
        <v>190</v>
      </c>
      <c r="G7" s="48">
        <v>52.5</v>
      </c>
      <c r="H7" s="50" t="s">
        <v>191</v>
      </c>
      <c r="I7" s="49">
        <v>58</v>
      </c>
      <c r="J7" s="50" t="s">
        <v>192</v>
      </c>
      <c r="K7" s="49">
        <v>115</v>
      </c>
      <c r="L7" s="51">
        <f t="shared" si="2"/>
        <v>75.166666666666671</v>
      </c>
    </row>
    <row r="8" spans="1:12" x14ac:dyDescent="0.25">
      <c r="A8" s="265" t="s">
        <v>176</v>
      </c>
      <c r="B8" s="265"/>
      <c r="C8" s="265"/>
      <c r="D8" s="266"/>
      <c r="E8" s="72">
        <f>SUM(E3:E7)</f>
        <v>904.26666666666677</v>
      </c>
      <c r="F8" s="69"/>
      <c r="G8" s="70"/>
      <c r="H8" s="69"/>
      <c r="I8" s="70"/>
      <c r="J8" s="69"/>
      <c r="K8" s="70"/>
      <c r="L8" s="71"/>
    </row>
    <row r="9" spans="1:12" ht="15.75" thickBot="1" x14ac:dyDescent="0.3">
      <c r="A9" s="267" t="s">
        <v>177</v>
      </c>
      <c r="B9" s="267"/>
      <c r="C9" s="267"/>
      <c r="D9" s="268"/>
      <c r="E9" s="54">
        <f>E8/12</f>
        <v>75.355555555555569</v>
      </c>
      <c r="F9" s="69"/>
      <c r="G9" s="70"/>
      <c r="H9" s="69"/>
      <c r="I9" s="70"/>
      <c r="J9" s="69"/>
      <c r="K9" s="70"/>
      <c r="L9" s="71"/>
    </row>
  </sheetData>
  <mergeCells count="6">
    <mergeCell ref="J1:K1"/>
    <mergeCell ref="A1:E1"/>
    <mergeCell ref="A8:D8"/>
    <mergeCell ref="A9:D9"/>
    <mergeCell ref="F1:G1"/>
    <mergeCell ref="H1:I1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BDEEF-F11C-494E-99A8-5EF99F808DA5}">
  <dimension ref="A1:L60"/>
  <sheetViews>
    <sheetView topLeftCell="A48" workbookViewId="0">
      <selection activeCell="E61" sqref="E61"/>
    </sheetView>
  </sheetViews>
  <sheetFormatPr defaultColWidth="9.140625" defaultRowHeight="15" x14ac:dyDescent="0.25"/>
  <cols>
    <col min="2" max="2" width="25.42578125" customWidth="1"/>
    <col min="5" max="5" width="13.28515625" bestFit="1" customWidth="1"/>
    <col min="6" max="6" width="18.28515625" bestFit="1" customWidth="1"/>
    <col min="7" max="7" width="12.140625" bestFit="1" customWidth="1"/>
    <col min="8" max="8" width="17.85546875" customWidth="1"/>
    <col min="9" max="9" width="12.140625" bestFit="1" customWidth="1"/>
    <col min="10" max="10" width="17.85546875" customWidth="1"/>
    <col min="11" max="12" width="12.140625" bestFit="1" customWidth="1"/>
  </cols>
  <sheetData>
    <row r="1" spans="1:12" ht="15.75" thickBot="1" x14ac:dyDescent="0.3">
      <c r="A1" s="263" t="s">
        <v>907</v>
      </c>
      <c r="B1" s="264"/>
      <c r="C1" s="264"/>
      <c r="D1" s="264"/>
      <c r="E1" s="264"/>
      <c r="F1" s="262" t="s">
        <v>162</v>
      </c>
      <c r="G1" s="262"/>
      <c r="H1" s="262" t="s">
        <v>163</v>
      </c>
      <c r="I1" s="262"/>
      <c r="J1" s="262" t="s">
        <v>164</v>
      </c>
      <c r="K1" s="262"/>
      <c r="L1" s="67"/>
    </row>
    <row r="2" spans="1:12" ht="30" x14ac:dyDescent="0.25">
      <c r="A2" s="55" t="s">
        <v>165</v>
      </c>
      <c r="B2" s="56" t="s">
        <v>166</v>
      </c>
      <c r="C2" s="56" t="s">
        <v>167</v>
      </c>
      <c r="D2" s="56" t="s">
        <v>168</v>
      </c>
      <c r="E2" s="57" t="s">
        <v>141</v>
      </c>
      <c r="F2" s="58" t="s">
        <v>178</v>
      </c>
      <c r="G2" s="58" t="s">
        <v>169</v>
      </c>
      <c r="H2" s="58" t="s">
        <v>178</v>
      </c>
      <c r="I2" s="58" t="s">
        <v>169</v>
      </c>
      <c r="J2" s="58" t="s">
        <v>178</v>
      </c>
      <c r="K2" s="58" t="s">
        <v>169</v>
      </c>
      <c r="L2" s="68" t="s">
        <v>170</v>
      </c>
    </row>
    <row r="3" spans="1:12" ht="58.5" customHeight="1" x14ac:dyDescent="0.25">
      <c r="A3" s="59">
        <v>1</v>
      </c>
      <c r="B3" s="60" t="s">
        <v>908</v>
      </c>
      <c r="C3" s="61">
        <v>1</v>
      </c>
      <c r="D3" s="62">
        <f>L3</f>
        <v>1859.2566666666669</v>
      </c>
      <c r="E3" s="63">
        <f>C3*D3</f>
        <v>1859.2566666666669</v>
      </c>
      <c r="F3" s="73" t="s">
        <v>909</v>
      </c>
      <c r="G3" s="48">
        <v>2764.37</v>
      </c>
      <c r="H3" s="73" t="s">
        <v>910</v>
      </c>
      <c r="I3" s="48">
        <v>2799.9</v>
      </c>
      <c r="J3" s="73" t="s">
        <v>911</v>
      </c>
      <c r="K3" s="48">
        <v>13.5</v>
      </c>
      <c r="L3" s="51">
        <f>(G3+I3+K3)/3</f>
        <v>1859.2566666666669</v>
      </c>
    </row>
    <row r="4" spans="1:12" ht="45" x14ac:dyDescent="0.25">
      <c r="A4" s="59">
        <v>2</v>
      </c>
      <c r="B4" s="64" t="s">
        <v>912</v>
      </c>
      <c r="C4" s="65">
        <v>1</v>
      </c>
      <c r="D4" s="62">
        <f>L4</f>
        <v>581.33333333333337</v>
      </c>
      <c r="E4" s="66">
        <f>C4*D4</f>
        <v>581.33333333333337</v>
      </c>
      <c r="F4" s="73" t="s">
        <v>913</v>
      </c>
      <c r="G4" s="48">
        <v>539.9</v>
      </c>
      <c r="H4" s="50" t="s">
        <v>910</v>
      </c>
      <c r="I4" s="49">
        <v>584.9</v>
      </c>
      <c r="J4" s="50" t="s">
        <v>914</v>
      </c>
      <c r="K4" s="49">
        <v>619.20000000000005</v>
      </c>
      <c r="L4" s="51">
        <f>(G4+I4+K4)/3</f>
        <v>581.33333333333337</v>
      </c>
    </row>
    <row r="5" spans="1:12" ht="30" x14ac:dyDescent="0.25">
      <c r="A5" s="59">
        <v>3</v>
      </c>
      <c r="B5" s="64" t="s">
        <v>915</v>
      </c>
      <c r="C5" s="65">
        <v>1</v>
      </c>
      <c r="D5" s="62">
        <f t="shared" ref="D5:D57" si="0">L5</f>
        <v>150.87</v>
      </c>
      <c r="E5" s="66">
        <f t="shared" ref="E5:E57" si="1">C5*D5</f>
        <v>150.87</v>
      </c>
      <c r="F5" s="73" t="s">
        <v>916</v>
      </c>
      <c r="G5" s="48">
        <v>62.93</v>
      </c>
      <c r="H5" s="50" t="s">
        <v>913</v>
      </c>
      <c r="I5" s="49">
        <v>160.68</v>
      </c>
      <c r="J5" s="50" t="s">
        <v>917</v>
      </c>
      <c r="K5" s="49">
        <v>229</v>
      </c>
      <c r="L5" s="51">
        <f t="shared" ref="L5:L57" si="2">(G5+I5+K5)/3</f>
        <v>150.87</v>
      </c>
    </row>
    <row r="6" spans="1:12" x14ac:dyDescent="0.25">
      <c r="A6" s="59">
        <v>4</v>
      </c>
      <c r="B6" s="64" t="s">
        <v>918</v>
      </c>
      <c r="C6" s="65">
        <v>1</v>
      </c>
      <c r="D6" s="62">
        <f t="shared" ref="D6" si="3">L6</f>
        <v>171.79</v>
      </c>
      <c r="E6" s="66">
        <f t="shared" ref="E6" si="4">C6*D6</f>
        <v>171.79</v>
      </c>
      <c r="F6" s="73" t="s">
        <v>919</v>
      </c>
      <c r="G6" s="48">
        <v>86.56</v>
      </c>
      <c r="H6" s="50" t="s">
        <v>916</v>
      </c>
      <c r="I6" s="49">
        <v>149</v>
      </c>
      <c r="J6" s="50" t="s">
        <v>920</v>
      </c>
      <c r="K6" s="49">
        <v>279.81</v>
      </c>
      <c r="L6" s="51">
        <f t="shared" si="2"/>
        <v>171.79</v>
      </c>
    </row>
    <row r="7" spans="1:12" ht="30" x14ac:dyDescent="0.25">
      <c r="A7" s="59">
        <v>5</v>
      </c>
      <c r="B7" s="64" t="s">
        <v>921</v>
      </c>
      <c r="C7" s="65">
        <v>2</v>
      </c>
      <c r="D7" s="62">
        <f t="shared" ref="D7" si="5">L7</f>
        <v>655.18666666666661</v>
      </c>
      <c r="E7" s="66">
        <f t="shared" ref="E7" si="6">C7*D7</f>
        <v>1310.3733333333332</v>
      </c>
      <c r="F7" s="73" t="s">
        <v>919</v>
      </c>
      <c r="G7" s="48">
        <v>489.9</v>
      </c>
      <c r="H7" s="50" t="s">
        <v>922</v>
      </c>
      <c r="I7" s="49">
        <v>606.24</v>
      </c>
      <c r="J7" s="50" t="s">
        <v>916</v>
      </c>
      <c r="K7" s="49">
        <v>869.42</v>
      </c>
      <c r="L7" s="51">
        <f t="shared" si="2"/>
        <v>655.18666666666661</v>
      </c>
    </row>
    <row r="8" spans="1:12" ht="45" x14ac:dyDescent="0.25">
      <c r="A8" s="59">
        <v>6</v>
      </c>
      <c r="B8" s="64" t="s">
        <v>923</v>
      </c>
      <c r="C8" s="65">
        <v>2</v>
      </c>
      <c r="D8" s="62">
        <f t="shared" ref="D8" si="7">L8</f>
        <v>105.07333333333334</v>
      </c>
      <c r="E8" s="66">
        <f t="shared" ref="E8" si="8">C8*D8</f>
        <v>210.14666666666668</v>
      </c>
      <c r="F8" s="73" t="s">
        <v>916</v>
      </c>
      <c r="G8" s="48">
        <v>125.32</v>
      </c>
      <c r="H8" s="50" t="s">
        <v>910</v>
      </c>
      <c r="I8" s="49">
        <v>189.9</v>
      </c>
      <c r="J8" s="50"/>
      <c r="K8" s="49"/>
      <c r="L8" s="51">
        <f t="shared" si="2"/>
        <v>105.07333333333334</v>
      </c>
    </row>
    <row r="9" spans="1:12" ht="45" x14ac:dyDescent="0.25">
      <c r="A9" s="59">
        <v>7</v>
      </c>
      <c r="B9" s="64" t="s">
        <v>924</v>
      </c>
      <c r="C9" s="65">
        <v>1</v>
      </c>
      <c r="D9" s="62">
        <f t="shared" ref="D9" si="9">L9</f>
        <v>1149.2733333333333</v>
      </c>
      <c r="E9" s="66">
        <f t="shared" ref="E9:E55" si="10">C9*D9</f>
        <v>1149.2733333333333</v>
      </c>
      <c r="F9" s="73" t="s">
        <v>946</v>
      </c>
      <c r="G9" s="48">
        <v>777.65</v>
      </c>
      <c r="H9" s="50" t="s">
        <v>916</v>
      </c>
      <c r="I9" s="49">
        <v>1290.4100000000001</v>
      </c>
      <c r="J9" s="50" t="s">
        <v>916</v>
      </c>
      <c r="K9" s="49">
        <v>1379.76</v>
      </c>
      <c r="L9" s="51">
        <f t="shared" si="2"/>
        <v>1149.2733333333333</v>
      </c>
    </row>
    <row r="10" spans="1:12" ht="45" x14ac:dyDescent="0.25">
      <c r="A10" s="59">
        <v>8</v>
      </c>
      <c r="B10" s="64" t="s">
        <v>926</v>
      </c>
      <c r="C10" s="65">
        <v>1</v>
      </c>
      <c r="D10" s="62">
        <f t="shared" ref="D10:D29" si="11">L10</f>
        <v>1607.3700000000001</v>
      </c>
      <c r="E10" s="66">
        <f t="shared" si="10"/>
        <v>1607.3700000000001</v>
      </c>
      <c r="F10" s="73" t="s">
        <v>910</v>
      </c>
      <c r="G10" s="48">
        <v>1319.9</v>
      </c>
      <c r="H10" s="50" t="s">
        <v>916</v>
      </c>
      <c r="I10" s="49">
        <v>1503.21</v>
      </c>
      <c r="J10" s="50" t="s">
        <v>925</v>
      </c>
      <c r="K10" s="49">
        <v>1999</v>
      </c>
      <c r="L10" s="51">
        <f t="shared" si="2"/>
        <v>1607.3700000000001</v>
      </c>
    </row>
    <row r="11" spans="1:12" ht="30" x14ac:dyDescent="0.25">
      <c r="A11" s="59">
        <v>9</v>
      </c>
      <c r="B11" s="64" t="s">
        <v>927</v>
      </c>
      <c r="C11" s="65">
        <v>2</v>
      </c>
      <c r="D11" s="62">
        <f t="shared" si="11"/>
        <v>116.21666666666665</v>
      </c>
      <c r="E11" s="66">
        <f t="shared" si="10"/>
        <v>232.43333333333331</v>
      </c>
      <c r="F11" s="73" t="s">
        <v>910</v>
      </c>
      <c r="G11" s="48">
        <v>58.9</v>
      </c>
      <c r="H11" s="50" t="s">
        <v>947</v>
      </c>
      <c r="I11" s="49">
        <v>136.85</v>
      </c>
      <c r="J11" s="50" t="s">
        <v>948</v>
      </c>
      <c r="K11" s="49">
        <v>152.9</v>
      </c>
      <c r="L11" s="51">
        <f t="shared" si="2"/>
        <v>116.21666666666665</v>
      </c>
    </row>
    <row r="12" spans="1:12" ht="45" x14ac:dyDescent="0.25">
      <c r="A12" s="59">
        <v>10</v>
      </c>
      <c r="B12" s="64" t="s">
        <v>928</v>
      </c>
      <c r="C12" s="65">
        <v>1</v>
      </c>
      <c r="D12" s="62">
        <f t="shared" si="11"/>
        <v>1477.2633333333333</v>
      </c>
      <c r="E12" s="66">
        <f t="shared" si="10"/>
        <v>1477.2633333333333</v>
      </c>
      <c r="F12" s="73" t="s">
        <v>949</v>
      </c>
      <c r="G12" s="48">
        <v>1139</v>
      </c>
      <c r="H12" s="50" t="s">
        <v>950</v>
      </c>
      <c r="I12" s="49">
        <v>1422.9</v>
      </c>
      <c r="J12" s="50" t="s">
        <v>916</v>
      </c>
      <c r="K12" s="49">
        <v>1869.89</v>
      </c>
      <c r="L12" s="51">
        <f t="shared" si="2"/>
        <v>1477.2633333333333</v>
      </c>
    </row>
    <row r="13" spans="1:12" ht="45" x14ac:dyDescent="0.25">
      <c r="A13" s="59">
        <v>11</v>
      </c>
      <c r="B13" s="64" t="s">
        <v>929</v>
      </c>
      <c r="C13" s="65">
        <v>10</v>
      </c>
      <c r="D13" s="62">
        <f t="shared" si="11"/>
        <v>20.103333333333332</v>
      </c>
      <c r="E13" s="66">
        <f t="shared" si="10"/>
        <v>201.0333333333333</v>
      </c>
      <c r="F13" s="73" t="s">
        <v>951</v>
      </c>
      <c r="G13" s="48">
        <v>16.2</v>
      </c>
      <c r="H13" s="50" t="s">
        <v>952</v>
      </c>
      <c r="I13" s="49">
        <v>21.9</v>
      </c>
      <c r="J13" s="50" t="s">
        <v>953</v>
      </c>
      <c r="K13" s="49">
        <v>22.21</v>
      </c>
      <c r="L13" s="51">
        <f t="shared" si="2"/>
        <v>20.103333333333332</v>
      </c>
    </row>
    <row r="14" spans="1:12" ht="45" x14ac:dyDescent="0.25">
      <c r="A14" s="59">
        <v>12</v>
      </c>
      <c r="B14" s="64" t="s">
        <v>930</v>
      </c>
      <c r="C14" s="65">
        <v>2</v>
      </c>
      <c r="D14" s="62">
        <f t="shared" si="11"/>
        <v>62.946666666666665</v>
      </c>
      <c r="E14" s="66">
        <f t="shared" si="10"/>
        <v>125.89333333333333</v>
      </c>
      <c r="F14" s="73" t="s">
        <v>916</v>
      </c>
      <c r="G14" s="48">
        <v>38.94</v>
      </c>
      <c r="H14" s="50" t="s">
        <v>947</v>
      </c>
      <c r="I14" s="49">
        <v>68.900000000000006</v>
      </c>
      <c r="J14" s="50" t="s">
        <v>919</v>
      </c>
      <c r="K14" s="49">
        <v>81</v>
      </c>
      <c r="L14" s="51">
        <f t="shared" si="2"/>
        <v>62.946666666666665</v>
      </c>
    </row>
    <row r="15" spans="1:12" ht="60" x14ac:dyDescent="0.25">
      <c r="A15" s="59">
        <v>13</v>
      </c>
      <c r="B15" s="64" t="s">
        <v>931</v>
      </c>
      <c r="C15" s="65">
        <v>2</v>
      </c>
      <c r="D15" s="62">
        <f t="shared" si="11"/>
        <v>51.113333333333337</v>
      </c>
      <c r="E15" s="66">
        <f t="shared" si="10"/>
        <v>102.22666666666667</v>
      </c>
      <c r="F15" s="73" t="s">
        <v>916</v>
      </c>
      <c r="G15" s="48">
        <v>42.31</v>
      </c>
      <c r="H15" s="50" t="s">
        <v>910</v>
      </c>
      <c r="I15" s="49">
        <v>49.9</v>
      </c>
      <c r="J15" s="50" t="s">
        <v>954</v>
      </c>
      <c r="K15" s="49">
        <v>61.13</v>
      </c>
      <c r="L15" s="51">
        <f t="shared" si="2"/>
        <v>51.113333333333337</v>
      </c>
    </row>
    <row r="16" spans="1:12" ht="45" x14ac:dyDescent="0.25">
      <c r="A16" s="59">
        <v>14</v>
      </c>
      <c r="B16" s="64" t="s">
        <v>932</v>
      </c>
      <c r="C16" s="65">
        <v>2</v>
      </c>
      <c r="D16" s="62">
        <f t="shared" si="11"/>
        <v>119.95666666666666</v>
      </c>
      <c r="E16" s="66">
        <f t="shared" si="10"/>
        <v>239.91333333333333</v>
      </c>
      <c r="F16" s="73" t="s">
        <v>955</v>
      </c>
      <c r="G16" s="48">
        <v>106.99</v>
      </c>
      <c r="H16" s="50" t="s">
        <v>916</v>
      </c>
      <c r="I16" s="49">
        <v>123.98</v>
      </c>
      <c r="J16" s="50" t="s">
        <v>910</v>
      </c>
      <c r="K16" s="49">
        <v>128.9</v>
      </c>
      <c r="L16" s="51">
        <f t="shared" si="2"/>
        <v>119.95666666666666</v>
      </c>
    </row>
    <row r="17" spans="1:12" ht="60" x14ac:dyDescent="0.25">
      <c r="A17" s="59">
        <v>15</v>
      </c>
      <c r="B17" s="64" t="s">
        <v>933</v>
      </c>
      <c r="C17" s="65">
        <v>2</v>
      </c>
      <c r="D17" s="62">
        <f t="shared" si="11"/>
        <v>53.46</v>
      </c>
      <c r="E17" s="66">
        <f t="shared" si="10"/>
        <v>106.92</v>
      </c>
      <c r="F17" s="73" t="s">
        <v>956</v>
      </c>
      <c r="G17" s="48">
        <v>29.38</v>
      </c>
      <c r="H17" s="50" t="s">
        <v>957</v>
      </c>
      <c r="I17" s="49">
        <v>42</v>
      </c>
      <c r="J17" s="50" t="s">
        <v>916</v>
      </c>
      <c r="K17" s="49">
        <v>89</v>
      </c>
      <c r="L17" s="51">
        <f t="shared" si="2"/>
        <v>53.46</v>
      </c>
    </row>
    <row r="18" spans="1:12" ht="30" x14ac:dyDescent="0.25">
      <c r="A18" s="59">
        <v>16</v>
      </c>
      <c r="B18" s="64" t="s">
        <v>934</v>
      </c>
      <c r="C18" s="65">
        <v>2</v>
      </c>
      <c r="D18" s="62">
        <f t="shared" si="11"/>
        <v>182.6</v>
      </c>
      <c r="E18" s="66">
        <f t="shared" si="10"/>
        <v>365.2</v>
      </c>
      <c r="F18" s="73" t="s">
        <v>919</v>
      </c>
      <c r="G18" s="48">
        <v>43.99</v>
      </c>
      <c r="H18" s="50" t="s">
        <v>913</v>
      </c>
      <c r="I18" s="49">
        <v>54.81</v>
      </c>
      <c r="J18" s="50" t="s">
        <v>958</v>
      </c>
      <c r="K18" s="49">
        <v>449</v>
      </c>
      <c r="L18" s="51">
        <f t="shared" si="2"/>
        <v>182.6</v>
      </c>
    </row>
    <row r="19" spans="1:12" ht="30" x14ac:dyDescent="0.25">
      <c r="A19" s="59">
        <v>17</v>
      </c>
      <c r="B19" s="64" t="s">
        <v>935</v>
      </c>
      <c r="C19" s="65">
        <v>2</v>
      </c>
      <c r="D19" s="62">
        <f t="shared" si="11"/>
        <v>220.08666666666667</v>
      </c>
      <c r="E19" s="66">
        <f t="shared" si="10"/>
        <v>440.17333333333335</v>
      </c>
      <c r="F19" s="73" t="s">
        <v>959</v>
      </c>
      <c r="G19" s="48">
        <v>117.9</v>
      </c>
      <c r="H19" s="50" t="s">
        <v>916</v>
      </c>
      <c r="I19" s="49">
        <v>258.69</v>
      </c>
      <c r="J19" s="50" t="s">
        <v>960</v>
      </c>
      <c r="K19" s="49">
        <v>283.67</v>
      </c>
      <c r="L19" s="51">
        <f t="shared" si="2"/>
        <v>220.08666666666667</v>
      </c>
    </row>
    <row r="20" spans="1:12" ht="30" x14ac:dyDescent="0.25">
      <c r="A20" s="59">
        <v>18</v>
      </c>
      <c r="B20" s="64" t="s">
        <v>936</v>
      </c>
      <c r="C20" s="65">
        <v>2</v>
      </c>
      <c r="D20" s="62">
        <f t="shared" si="11"/>
        <v>132.71333333333334</v>
      </c>
      <c r="E20" s="66">
        <f t="shared" si="10"/>
        <v>265.42666666666668</v>
      </c>
      <c r="F20" s="73" t="s">
        <v>916</v>
      </c>
      <c r="G20" s="48">
        <v>120</v>
      </c>
      <c r="H20" s="50" t="s">
        <v>916</v>
      </c>
      <c r="I20" s="49">
        <v>132.88999999999999</v>
      </c>
      <c r="J20" s="50" t="s">
        <v>916</v>
      </c>
      <c r="K20" s="49">
        <v>145.25</v>
      </c>
      <c r="L20" s="51">
        <f t="shared" si="2"/>
        <v>132.71333333333334</v>
      </c>
    </row>
    <row r="21" spans="1:12" x14ac:dyDescent="0.25">
      <c r="A21" s="59">
        <v>19</v>
      </c>
      <c r="B21" s="64" t="s">
        <v>937</v>
      </c>
      <c r="C21" s="65">
        <v>2</v>
      </c>
      <c r="D21" s="62">
        <f t="shared" si="11"/>
        <v>44.343333333333334</v>
      </c>
      <c r="E21" s="66">
        <f t="shared" si="10"/>
        <v>88.686666666666667</v>
      </c>
      <c r="F21" s="73" t="s">
        <v>916</v>
      </c>
      <c r="G21" s="48">
        <v>39.700000000000003</v>
      </c>
      <c r="H21" s="50" t="s">
        <v>916</v>
      </c>
      <c r="I21" s="49">
        <v>43.78</v>
      </c>
      <c r="J21" s="50" t="s">
        <v>961</v>
      </c>
      <c r="K21" s="49">
        <v>49.55</v>
      </c>
      <c r="L21" s="51">
        <f t="shared" si="2"/>
        <v>44.343333333333334</v>
      </c>
    </row>
    <row r="22" spans="1:12" ht="30" x14ac:dyDescent="0.25">
      <c r="A22" s="59">
        <v>20</v>
      </c>
      <c r="B22" s="64" t="s">
        <v>938</v>
      </c>
      <c r="C22" s="65">
        <v>1</v>
      </c>
      <c r="D22" s="62">
        <f t="shared" si="11"/>
        <v>1154.08</v>
      </c>
      <c r="E22" s="66">
        <f t="shared" si="10"/>
        <v>1154.08</v>
      </c>
      <c r="F22" s="73" t="s">
        <v>962</v>
      </c>
      <c r="G22" s="48">
        <v>1144.07</v>
      </c>
      <c r="H22" s="50" t="s">
        <v>916</v>
      </c>
      <c r="I22" s="49">
        <v>1158.18</v>
      </c>
      <c r="J22" s="50" t="s">
        <v>963</v>
      </c>
      <c r="K22" s="49">
        <v>1159.99</v>
      </c>
      <c r="L22" s="51">
        <f t="shared" si="2"/>
        <v>1154.08</v>
      </c>
    </row>
    <row r="23" spans="1:12" ht="60" x14ac:dyDescent="0.25">
      <c r="A23" s="59">
        <v>21</v>
      </c>
      <c r="B23" s="64" t="s">
        <v>939</v>
      </c>
      <c r="C23" s="65">
        <v>1</v>
      </c>
      <c r="D23" s="62">
        <f t="shared" si="11"/>
        <v>694.12333333333333</v>
      </c>
      <c r="E23" s="66">
        <f t="shared" si="10"/>
        <v>694.12333333333333</v>
      </c>
      <c r="F23" s="73" t="s">
        <v>916</v>
      </c>
      <c r="G23" s="48">
        <v>644.9</v>
      </c>
      <c r="H23" s="50" t="s">
        <v>910</v>
      </c>
      <c r="I23" s="49">
        <v>683.57</v>
      </c>
      <c r="J23" s="50" t="s">
        <v>916</v>
      </c>
      <c r="K23" s="49">
        <v>753.9</v>
      </c>
      <c r="L23" s="51">
        <f t="shared" si="2"/>
        <v>694.12333333333333</v>
      </c>
    </row>
    <row r="24" spans="1:12" ht="30" x14ac:dyDescent="0.25">
      <c r="A24" s="59">
        <v>22</v>
      </c>
      <c r="B24" s="64" t="s">
        <v>940</v>
      </c>
      <c r="C24" s="65">
        <v>1</v>
      </c>
      <c r="D24" s="62">
        <f t="shared" si="11"/>
        <v>706.7733333333332</v>
      </c>
      <c r="E24" s="66">
        <f t="shared" si="10"/>
        <v>706.7733333333332</v>
      </c>
      <c r="F24" s="73" t="s">
        <v>964</v>
      </c>
      <c r="G24" s="48">
        <v>522.63</v>
      </c>
      <c r="H24" s="50" t="s">
        <v>910</v>
      </c>
      <c r="I24" s="49">
        <v>649.9</v>
      </c>
      <c r="J24" s="50" t="s">
        <v>916</v>
      </c>
      <c r="K24" s="49">
        <v>947.79</v>
      </c>
      <c r="L24" s="51">
        <f t="shared" si="2"/>
        <v>706.7733333333332</v>
      </c>
    </row>
    <row r="25" spans="1:12" ht="60" x14ac:dyDescent="0.25">
      <c r="A25" s="59">
        <v>23</v>
      </c>
      <c r="B25" s="64" t="s">
        <v>941</v>
      </c>
      <c r="C25" s="65">
        <v>1</v>
      </c>
      <c r="D25" s="62">
        <f t="shared" si="11"/>
        <v>1114.5566666666666</v>
      </c>
      <c r="E25" s="66">
        <f t="shared" si="10"/>
        <v>1114.5566666666666</v>
      </c>
      <c r="F25" s="73" t="s">
        <v>916</v>
      </c>
      <c r="G25" s="48">
        <v>945.18</v>
      </c>
      <c r="H25" s="50" t="s">
        <v>965</v>
      </c>
      <c r="I25" s="49">
        <v>1019.49</v>
      </c>
      <c r="J25" s="50" t="s">
        <v>910</v>
      </c>
      <c r="K25" s="49">
        <v>1379</v>
      </c>
      <c r="L25" s="51">
        <f t="shared" si="2"/>
        <v>1114.5566666666666</v>
      </c>
    </row>
    <row r="26" spans="1:12" ht="30" x14ac:dyDescent="0.25">
      <c r="A26" s="59">
        <v>24</v>
      </c>
      <c r="B26" s="64" t="s">
        <v>942</v>
      </c>
      <c r="C26" s="65">
        <v>1</v>
      </c>
      <c r="D26" s="62">
        <f t="shared" si="11"/>
        <v>81.053333333333327</v>
      </c>
      <c r="E26" s="66">
        <f t="shared" si="10"/>
        <v>81.053333333333327</v>
      </c>
      <c r="F26" s="73" t="s">
        <v>916</v>
      </c>
      <c r="G26" s="48">
        <v>24.95</v>
      </c>
      <c r="H26" s="50" t="s">
        <v>947</v>
      </c>
      <c r="I26" s="49">
        <v>30.79</v>
      </c>
      <c r="J26" s="50" t="s">
        <v>916</v>
      </c>
      <c r="K26" s="49">
        <v>187.42</v>
      </c>
      <c r="L26" s="51">
        <f t="shared" si="2"/>
        <v>81.053333333333327</v>
      </c>
    </row>
    <row r="27" spans="1:12" x14ac:dyDescent="0.25">
      <c r="A27" s="59">
        <v>25</v>
      </c>
      <c r="B27" s="64" t="s">
        <v>943</v>
      </c>
      <c r="C27" s="65">
        <v>2</v>
      </c>
      <c r="D27" s="62">
        <f t="shared" si="11"/>
        <v>58.433333333333337</v>
      </c>
      <c r="E27" s="66">
        <f t="shared" si="10"/>
        <v>116.86666666666667</v>
      </c>
      <c r="F27" s="73" t="s">
        <v>916</v>
      </c>
      <c r="G27" s="48">
        <v>48.99</v>
      </c>
      <c r="H27" s="50" t="s">
        <v>916</v>
      </c>
      <c r="I27" s="49">
        <v>57</v>
      </c>
      <c r="J27" s="50" t="s">
        <v>916</v>
      </c>
      <c r="K27" s="49">
        <v>69.31</v>
      </c>
      <c r="L27" s="51">
        <f t="shared" si="2"/>
        <v>58.433333333333337</v>
      </c>
    </row>
    <row r="28" spans="1:12" ht="45" x14ac:dyDescent="0.25">
      <c r="A28" s="59">
        <v>26</v>
      </c>
      <c r="B28" s="64" t="s">
        <v>944</v>
      </c>
      <c r="C28" s="65">
        <v>1</v>
      </c>
      <c r="D28" s="62">
        <f t="shared" si="11"/>
        <v>728.51666666666677</v>
      </c>
      <c r="E28" s="66">
        <f t="shared" si="10"/>
        <v>728.51666666666677</v>
      </c>
      <c r="F28" s="73" t="s">
        <v>910</v>
      </c>
      <c r="G28" s="48">
        <v>539.9</v>
      </c>
      <c r="H28" s="50" t="s">
        <v>916</v>
      </c>
      <c r="I28" s="49">
        <v>696.65</v>
      </c>
      <c r="J28" s="50" t="s">
        <v>966</v>
      </c>
      <c r="K28" s="49">
        <v>949</v>
      </c>
      <c r="L28" s="51">
        <f t="shared" si="2"/>
        <v>728.51666666666677</v>
      </c>
    </row>
    <row r="29" spans="1:12" ht="60" x14ac:dyDescent="0.25">
      <c r="A29" s="59">
        <v>27</v>
      </c>
      <c r="B29" s="64" t="s">
        <v>945</v>
      </c>
      <c r="C29" s="65">
        <v>1</v>
      </c>
      <c r="D29" s="62">
        <f t="shared" si="11"/>
        <v>352.63333333333338</v>
      </c>
      <c r="E29" s="66">
        <f t="shared" si="10"/>
        <v>352.63333333333338</v>
      </c>
      <c r="F29" s="73" t="s">
        <v>967</v>
      </c>
      <c r="G29" s="48">
        <v>259</v>
      </c>
      <c r="H29" s="50" t="s">
        <v>910</v>
      </c>
      <c r="I29" s="49">
        <v>399</v>
      </c>
      <c r="J29" s="50" t="s">
        <v>954</v>
      </c>
      <c r="K29" s="49">
        <v>399.9</v>
      </c>
      <c r="L29" s="51">
        <f t="shared" si="2"/>
        <v>352.63333333333338</v>
      </c>
    </row>
    <row r="30" spans="1:12" ht="45" x14ac:dyDescent="0.25">
      <c r="A30" s="59">
        <v>28</v>
      </c>
      <c r="B30" s="64" t="s">
        <v>968</v>
      </c>
      <c r="C30" s="65">
        <v>2</v>
      </c>
      <c r="D30" s="62">
        <f t="shared" ref="D30:D51" si="12">L30</f>
        <v>26.243333333333336</v>
      </c>
      <c r="E30" s="66">
        <f t="shared" si="10"/>
        <v>52.486666666666672</v>
      </c>
      <c r="F30" s="73" t="s">
        <v>990</v>
      </c>
      <c r="G30" s="48">
        <v>18.98</v>
      </c>
      <c r="H30" s="50" t="s">
        <v>991</v>
      </c>
      <c r="I30" s="49">
        <v>22</v>
      </c>
      <c r="J30" s="50" t="s">
        <v>916</v>
      </c>
      <c r="K30" s="49">
        <v>37.75</v>
      </c>
      <c r="L30" s="51">
        <f t="shared" si="2"/>
        <v>26.243333333333336</v>
      </c>
    </row>
    <row r="31" spans="1:12" ht="30" x14ac:dyDescent="0.25">
      <c r="A31" s="59">
        <v>29</v>
      </c>
      <c r="B31" s="64" t="s">
        <v>969</v>
      </c>
      <c r="C31" s="65">
        <v>4</v>
      </c>
      <c r="D31" s="62">
        <f t="shared" si="12"/>
        <v>97.726666666666674</v>
      </c>
      <c r="E31" s="66">
        <f t="shared" si="10"/>
        <v>390.90666666666669</v>
      </c>
      <c r="F31" s="73" t="s">
        <v>919</v>
      </c>
      <c r="G31" s="48">
        <v>42.29</v>
      </c>
      <c r="H31" s="50" t="s">
        <v>910</v>
      </c>
      <c r="I31" s="49">
        <v>49.9</v>
      </c>
      <c r="J31" s="50" t="s">
        <v>916</v>
      </c>
      <c r="K31" s="49">
        <v>200.99</v>
      </c>
      <c r="L31" s="51">
        <f t="shared" si="2"/>
        <v>97.726666666666674</v>
      </c>
    </row>
    <row r="32" spans="1:12" ht="30" x14ac:dyDescent="0.25">
      <c r="A32" s="59">
        <v>30</v>
      </c>
      <c r="B32" s="64" t="s">
        <v>970</v>
      </c>
      <c r="C32" s="65">
        <v>4</v>
      </c>
      <c r="D32" s="62">
        <f t="shared" si="12"/>
        <v>35.589999999999996</v>
      </c>
      <c r="E32" s="66">
        <f t="shared" si="10"/>
        <v>142.35999999999999</v>
      </c>
      <c r="F32" s="73" t="s">
        <v>910</v>
      </c>
      <c r="G32" s="48">
        <v>19.989999999999998</v>
      </c>
      <c r="H32" s="50" t="s">
        <v>916</v>
      </c>
      <c r="I32" s="49">
        <v>42.41</v>
      </c>
      <c r="J32" s="50" t="s">
        <v>916</v>
      </c>
      <c r="K32" s="49">
        <v>44.37</v>
      </c>
      <c r="L32" s="51">
        <f t="shared" si="2"/>
        <v>35.589999999999996</v>
      </c>
    </row>
    <row r="33" spans="1:12" ht="30" x14ac:dyDescent="0.25">
      <c r="A33" s="59">
        <v>31</v>
      </c>
      <c r="B33" s="64" t="s">
        <v>971</v>
      </c>
      <c r="C33" s="65">
        <v>1</v>
      </c>
      <c r="D33" s="62">
        <f t="shared" si="12"/>
        <v>53.263333333333343</v>
      </c>
      <c r="E33" s="66">
        <f t="shared" si="10"/>
        <v>53.263333333333343</v>
      </c>
      <c r="F33" s="73" t="s">
        <v>910</v>
      </c>
      <c r="G33" s="48">
        <v>39.9</v>
      </c>
      <c r="H33" s="50" t="s">
        <v>947</v>
      </c>
      <c r="I33" s="49">
        <v>49.99</v>
      </c>
      <c r="J33" s="50" t="s">
        <v>947</v>
      </c>
      <c r="K33" s="49">
        <v>69.900000000000006</v>
      </c>
      <c r="L33" s="51">
        <f t="shared" si="2"/>
        <v>53.263333333333343</v>
      </c>
    </row>
    <row r="34" spans="1:12" ht="45" x14ac:dyDescent="0.25">
      <c r="A34" s="59">
        <v>32</v>
      </c>
      <c r="B34" s="64" t="s">
        <v>972</v>
      </c>
      <c r="C34" s="65">
        <v>1</v>
      </c>
      <c r="D34" s="62">
        <f t="shared" si="12"/>
        <v>34.889999999999993</v>
      </c>
      <c r="E34" s="66">
        <f t="shared" si="10"/>
        <v>34.889999999999993</v>
      </c>
      <c r="F34" s="73" t="s">
        <v>947</v>
      </c>
      <c r="G34" s="48">
        <v>26.99</v>
      </c>
      <c r="H34" s="50" t="s">
        <v>916</v>
      </c>
      <c r="I34" s="49">
        <v>34.92</v>
      </c>
      <c r="J34" s="50" t="s">
        <v>919</v>
      </c>
      <c r="K34" s="49">
        <v>42.76</v>
      </c>
      <c r="L34" s="51">
        <f t="shared" si="2"/>
        <v>34.889999999999993</v>
      </c>
    </row>
    <row r="35" spans="1:12" ht="120" x14ac:dyDescent="0.25">
      <c r="A35" s="59">
        <v>33</v>
      </c>
      <c r="B35" s="64" t="s">
        <v>973</v>
      </c>
      <c r="C35" s="65">
        <v>1</v>
      </c>
      <c r="D35" s="62">
        <f t="shared" si="12"/>
        <v>910.9666666666667</v>
      </c>
      <c r="E35" s="66">
        <f t="shared" si="10"/>
        <v>910.9666666666667</v>
      </c>
      <c r="F35" s="73" t="s">
        <v>967</v>
      </c>
      <c r="G35" s="48">
        <v>615</v>
      </c>
      <c r="H35" s="50" t="s">
        <v>947</v>
      </c>
      <c r="I35" s="49">
        <v>859</v>
      </c>
      <c r="J35" s="50" t="s">
        <v>992</v>
      </c>
      <c r="K35" s="49">
        <v>1258.9000000000001</v>
      </c>
      <c r="L35" s="51">
        <f t="shared" si="2"/>
        <v>910.9666666666667</v>
      </c>
    </row>
    <row r="36" spans="1:12" ht="90" x14ac:dyDescent="0.25">
      <c r="A36" s="59">
        <v>34</v>
      </c>
      <c r="B36" s="64" t="s">
        <v>974</v>
      </c>
      <c r="C36" s="65">
        <v>1</v>
      </c>
      <c r="D36" s="62">
        <f t="shared" si="12"/>
        <v>1478.0166666666664</v>
      </c>
      <c r="E36" s="66">
        <f t="shared" si="10"/>
        <v>1478.0166666666664</v>
      </c>
      <c r="F36" s="73" t="s">
        <v>954</v>
      </c>
      <c r="G36" s="48">
        <v>1333.79</v>
      </c>
      <c r="H36" s="50" t="s">
        <v>916</v>
      </c>
      <c r="I36" s="49">
        <v>1547.36</v>
      </c>
      <c r="J36" s="50" t="s">
        <v>910</v>
      </c>
      <c r="K36" s="49">
        <v>1552.9</v>
      </c>
      <c r="L36" s="51">
        <f t="shared" si="2"/>
        <v>1478.0166666666664</v>
      </c>
    </row>
    <row r="37" spans="1:12" ht="30" x14ac:dyDescent="0.25">
      <c r="A37" s="59">
        <v>35</v>
      </c>
      <c r="B37" s="64" t="s">
        <v>975</v>
      </c>
      <c r="C37" s="65">
        <v>1</v>
      </c>
      <c r="D37" s="62">
        <f t="shared" si="12"/>
        <v>242.56666666666669</v>
      </c>
      <c r="E37" s="66">
        <f t="shared" si="10"/>
        <v>242.56666666666669</v>
      </c>
      <c r="F37" s="73" t="s">
        <v>993</v>
      </c>
      <c r="G37" s="48">
        <v>234.9</v>
      </c>
      <c r="H37" s="50" t="s">
        <v>916</v>
      </c>
      <c r="I37" s="49">
        <v>242.9</v>
      </c>
      <c r="J37" s="50" t="s">
        <v>954</v>
      </c>
      <c r="K37" s="49">
        <v>249.9</v>
      </c>
      <c r="L37" s="51">
        <f t="shared" si="2"/>
        <v>242.56666666666669</v>
      </c>
    </row>
    <row r="38" spans="1:12" ht="30" x14ac:dyDescent="0.25">
      <c r="A38" s="59">
        <v>36</v>
      </c>
      <c r="B38" s="64" t="s">
        <v>976</v>
      </c>
      <c r="C38" s="65">
        <v>1</v>
      </c>
      <c r="D38" s="62">
        <f t="shared" si="12"/>
        <v>239.29666666666665</v>
      </c>
      <c r="E38" s="66">
        <f t="shared" si="10"/>
        <v>239.29666666666665</v>
      </c>
      <c r="F38" s="73" t="s">
        <v>919</v>
      </c>
      <c r="G38" s="48">
        <v>179.9</v>
      </c>
      <c r="H38" s="50" t="s">
        <v>916</v>
      </c>
      <c r="I38" s="49">
        <v>249.99</v>
      </c>
      <c r="J38" s="50" t="s">
        <v>910</v>
      </c>
      <c r="K38" s="49">
        <v>288</v>
      </c>
      <c r="L38" s="51">
        <f t="shared" si="2"/>
        <v>239.29666666666665</v>
      </c>
    </row>
    <row r="39" spans="1:12" ht="105" x14ac:dyDescent="0.25">
      <c r="A39" s="59">
        <v>37</v>
      </c>
      <c r="B39" s="64" t="s">
        <v>977</v>
      </c>
      <c r="C39" s="65">
        <v>1</v>
      </c>
      <c r="D39" s="62">
        <f t="shared" si="12"/>
        <v>167.97666666666666</v>
      </c>
      <c r="E39" s="66">
        <f t="shared" si="10"/>
        <v>167.97666666666666</v>
      </c>
      <c r="F39" s="73" t="s">
        <v>954</v>
      </c>
      <c r="G39" s="48">
        <v>54.99</v>
      </c>
      <c r="H39" s="50" t="s">
        <v>994</v>
      </c>
      <c r="I39" s="49">
        <v>95.99</v>
      </c>
      <c r="J39" s="50" t="s">
        <v>913</v>
      </c>
      <c r="K39" s="49">
        <v>352.95</v>
      </c>
      <c r="L39" s="51">
        <f t="shared" si="2"/>
        <v>167.97666666666666</v>
      </c>
    </row>
    <row r="40" spans="1:12" ht="45" x14ac:dyDescent="0.25">
      <c r="A40" s="59">
        <v>38</v>
      </c>
      <c r="B40" s="64" t="s">
        <v>978</v>
      </c>
      <c r="C40" s="65">
        <v>1</v>
      </c>
      <c r="D40" s="62">
        <f t="shared" si="12"/>
        <v>926.78000000000009</v>
      </c>
      <c r="E40" s="66">
        <f t="shared" si="10"/>
        <v>926.78000000000009</v>
      </c>
      <c r="F40" s="73" t="s">
        <v>995</v>
      </c>
      <c r="G40" s="48">
        <v>788.4</v>
      </c>
      <c r="H40" s="50" t="s">
        <v>919</v>
      </c>
      <c r="I40" s="49">
        <v>936.82</v>
      </c>
      <c r="J40" s="50" t="s">
        <v>916</v>
      </c>
      <c r="K40" s="49">
        <v>1055.1199999999999</v>
      </c>
      <c r="L40" s="51">
        <f t="shared" si="2"/>
        <v>926.78000000000009</v>
      </c>
    </row>
    <row r="41" spans="1:12" x14ac:dyDescent="0.25">
      <c r="A41" s="59">
        <v>39</v>
      </c>
      <c r="B41" s="64" t="s">
        <v>979</v>
      </c>
      <c r="C41" s="65">
        <v>2</v>
      </c>
      <c r="D41" s="62">
        <f t="shared" si="12"/>
        <v>44.803333333333335</v>
      </c>
      <c r="E41" s="66">
        <f t="shared" si="10"/>
        <v>89.606666666666669</v>
      </c>
      <c r="F41" s="73" t="s">
        <v>916</v>
      </c>
      <c r="G41" s="48">
        <v>40.72</v>
      </c>
      <c r="H41" s="50" t="s">
        <v>916</v>
      </c>
      <c r="I41" s="49">
        <v>44.69</v>
      </c>
      <c r="J41" s="50" t="s">
        <v>916</v>
      </c>
      <c r="K41" s="49">
        <v>49</v>
      </c>
      <c r="L41" s="51">
        <f t="shared" si="2"/>
        <v>44.803333333333335</v>
      </c>
    </row>
    <row r="42" spans="1:12" x14ac:dyDescent="0.25">
      <c r="A42" s="59">
        <v>40</v>
      </c>
      <c r="B42" s="64" t="s">
        <v>980</v>
      </c>
      <c r="C42" s="65">
        <v>2</v>
      </c>
      <c r="D42" s="62">
        <f t="shared" si="12"/>
        <v>90.716666666666654</v>
      </c>
      <c r="E42" s="66">
        <f t="shared" si="10"/>
        <v>181.43333333333331</v>
      </c>
      <c r="F42" s="73" t="s">
        <v>996</v>
      </c>
      <c r="G42" s="48">
        <v>77.16</v>
      </c>
      <c r="H42" s="50" t="s">
        <v>916</v>
      </c>
      <c r="I42" s="49">
        <v>96.22</v>
      </c>
      <c r="J42" s="50" t="s">
        <v>913</v>
      </c>
      <c r="K42" s="49">
        <v>98.77</v>
      </c>
      <c r="L42" s="51">
        <f t="shared" si="2"/>
        <v>90.716666666666654</v>
      </c>
    </row>
    <row r="43" spans="1:12" ht="30" x14ac:dyDescent="0.25">
      <c r="A43" s="59">
        <v>41</v>
      </c>
      <c r="B43" s="64" t="s">
        <v>981</v>
      </c>
      <c r="C43" s="65">
        <v>1</v>
      </c>
      <c r="D43" s="62">
        <f t="shared" si="12"/>
        <v>34.363333333333337</v>
      </c>
      <c r="E43" s="66">
        <f t="shared" si="10"/>
        <v>34.363333333333337</v>
      </c>
      <c r="F43" s="73" t="s">
        <v>947</v>
      </c>
      <c r="G43" s="48">
        <v>28.4</v>
      </c>
      <c r="H43" s="50" t="s">
        <v>916</v>
      </c>
      <c r="I43" s="49">
        <v>35.270000000000003</v>
      </c>
      <c r="J43" s="50" t="s">
        <v>919</v>
      </c>
      <c r="K43" s="49">
        <v>39.42</v>
      </c>
      <c r="L43" s="51">
        <f t="shared" si="2"/>
        <v>34.363333333333337</v>
      </c>
    </row>
    <row r="44" spans="1:12" ht="30" x14ac:dyDescent="0.25">
      <c r="A44" s="59">
        <v>42</v>
      </c>
      <c r="B44" s="64" t="s">
        <v>982</v>
      </c>
      <c r="C44" s="65">
        <v>2</v>
      </c>
      <c r="D44" s="62">
        <f t="shared" si="12"/>
        <v>89.88</v>
      </c>
      <c r="E44" s="66">
        <f t="shared" si="10"/>
        <v>179.76</v>
      </c>
      <c r="F44" s="73" t="s">
        <v>997</v>
      </c>
      <c r="G44" s="48">
        <v>66.19</v>
      </c>
      <c r="H44" s="50" t="s">
        <v>925</v>
      </c>
      <c r="I44" s="49">
        <v>99.9</v>
      </c>
      <c r="J44" s="50" t="s">
        <v>916</v>
      </c>
      <c r="K44" s="49">
        <v>103.55</v>
      </c>
      <c r="L44" s="51">
        <f t="shared" si="2"/>
        <v>89.88</v>
      </c>
    </row>
    <row r="45" spans="1:12" ht="75" x14ac:dyDescent="0.25">
      <c r="A45" s="59">
        <v>43</v>
      </c>
      <c r="B45" s="64" t="s">
        <v>983</v>
      </c>
      <c r="C45" s="65">
        <v>1</v>
      </c>
      <c r="D45" s="62">
        <f t="shared" si="12"/>
        <v>107.93333333333332</v>
      </c>
      <c r="E45" s="66">
        <f t="shared" si="10"/>
        <v>107.93333333333332</v>
      </c>
      <c r="F45" s="73" t="s">
        <v>949</v>
      </c>
      <c r="G45" s="48">
        <v>56.91</v>
      </c>
      <c r="H45" s="50" t="s">
        <v>919</v>
      </c>
      <c r="I45" s="49">
        <v>116.99</v>
      </c>
      <c r="J45" s="50" t="s">
        <v>910</v>
      </c>
      <c r="K45" s="49">
        <v>149.9</v>
      </c>
      <c r="L45" s="51">
        <f t="shared" si="2"/>
        <v>107.93333333333332</v>
      </c>
    </row>
    <row r="46" spans="1:12" ht="30" x14ac:dyDescent="0.25">
      <c r="A46" s="59">
        <v>44</v>
      </c>
      <c r="B46" s="64" t="s">
        <v>984</v>
      </c>
      <c r="C46" s="65">
        <v>1</v>
      </c>
      <c r="D46" s="62">
        <f t="shared" si="12"/>
        <v>42.596666666666664</v>
      </c>
      <c r="E46" s="66">
        <f t="shared" si="10"/>
        <v>42.596666666666664</v>
      </c>
      <c r="F46" s="73" t="s">
        <v>947</v>
      </c>
      <c r="G46" s="48">
        <v>32.9</v>
      </c>
      <c r="H46" s="50" t="s">
        <v>919</v>
      </c>
      <c r="I46" s="49">
        <v>44.99</v>
      </c>
      <c r="J46" s="50" t="s">
        <v>998</v>
      </c>
      <c r="K46" s="49">
        <v>49.9</v>
      </c>
      <c r="L46" s="51">
        <f t="shared" si="2"/>
        <v>42.596666666666664</v>
      </c>
    </row>
    <row r="47" spans="1:12" x14ac:dyDescent="0.25">
      <c r="A47" s="59">
        <v>45</v>
      </c>
      <c r="B47" s="64" t="s">
        <v>985</v>
      </c>
      <c r="C47" s="65">
        <v>1</v>
      </c>
      <c r="D47" s="62">
        <f t="shared" si="12"/>
        <v>97.813333333333333</v>
      </c>
      <c r="E47" s="66">
        <f t="shared" si="10"/>
        <v>97.813333333333333</v>
      </c>
      <c r="F47" s="73" t="s">
        <v>947</v>
      </c>
      <c r="G47" s="48">
        <v>82.5</v>
      </c>
      <c r="H47" s="50" t="s">
        <v>999</v>
      </c>
      <c r="I47" s="49">
        <v>94.44</v>
      </c>
      <c r="J47" s="50" t="s">
        <v>916</v>
      </c>
      <c r="K47" s="49">
        <v>116.5</v>
      </c>
      <c r="L47" s="51">
        <f t="shared" si="2"/>
        <v>97.813333333333333</v>
      </c>
    </row>
    <row r="48" spans="1:12" ht="60" x14ac:dyDescent="0.25">
      <c r="A48" s="59">
        <v>46</v>
      </c>
      <c r="B48" s="64" t="s">
        <v>986</v>
      </c>
      <c r="C48" s="65">
        <v>1</v>
      </c>
      <c r="D48" s="62">
        <f t="shared" si="12"/>
        <v>106.60000000000001</v>
      </c>
      <c r="E48" s="66">
        <f t="shared" si="10"/>
        <v>106.60000000000001</v>
      </c>
      <c r="F48" s="73" t="s">
        <v>919</v>
      </c>
      <c r="G48" s="48">
        <v>49.5</v>
      </c>
      <c r="H48" s="50" t="s">
        <v>913</v>
      </c>
      <c r="I48" s="49">
        <v>89.9</v>
      </c>
      <c r="J48" s="50" t="s">
        <v>1000</v>
      </c>
      <c r="K48" s="49">
        <v>180.4</v>
      </c>
      <c r="L48" s="51">
        <f t="shared" si="2"/>
        <v>106.60000000000001</v>
      </c>
    </row>
    <row r="49" spans="1:12" x14ac:dyDescent="0.25">
      <c r="A49" s="59">
        <v>47</v>
      </c>
      <c r="B49" s="64" t="s">
        <v>987</v>
      </c>
      <c r="C49" s="65">
        <v>1</v>
      </c>
      <c r="D49" s="62">
        <f t="shared" si="12"/>
        <v>46.286666666666669</v>
      </c>
      <c r="E49" s="66">
        <f t="shared" si="10"/>
        <v>46.286666666666669</v>
      </c>
      <c r="F49" s="73" t="s">
        <v>1001</v>
      </c>
      <c r="G49" s="48">
        <v>21.03</v>
      </c>
      <c r="H49" s="50" t="s">
        <v>1001</v>
      </c>
      <c r="I49" s="49">
        <v>21.9</v>
      </c>
      <c r="J49" s="50" t="s">
        <v>919</v>
      </c>
      <c r="K49" s="49">
        <v>95.93</v>
      </c>
      <c r="L49" s="51">
        <f t="shared" si="2"/>
        <v>46.286666666666669</v>
      </c>
    </row>
    <row r="50" spans="1:12" ht="30" x14ac:dyDescent="0.25">
      <c r="A50" s="59">
        <v>48</v>
      </c>
      <c r="B50" s="64" t="s">
        <v>988</v>
      </c>
      <c r="C50" s="65">
        <v>1</v>
      </c>
      <c r="D50" s="62">
        <f t="shared" si="12"/>
        <v>95.65333333333335</v>
      </c>
      <c r="E50" s="66">
        <f t="shared" si="10"/>
        <v>95.65333333333335</v>
      </c>
      <c r="F50" s="73" t="s">
        <v>916</v>
      </c>
      <c r="G50" s="48">
        <v>69.459999999999994</v>
      </c>
      <c r="H50" s="50" t="s">
        <v>1002</v>
      </c>
      <c r="I50" s="49">
        <v>83.6</v>
      </c>
      <c r="J50" s="50" t="s">
        <v>916</v>
      </c>
      <c r="K50" s="49">
        <v>133.9</v>
      </c>
      <c r="L50" s="51">
        <f t="shared" si="2"/>
        <v>95.65333333333335</v>
      </c>
    </row>
    <row r="51" spans="1:12" ht="30" x14ac:dyDescent="0.25">
      <c r="A51" s="59">
        <v>49</v>
      </c>
      <c r="B51" s="64" t="s">
        <v>989</v>
      </c>
      <c r="C51" s="65">
        <v>1</v>
      </c>
      <c r="D51" s="62">
        <f t="shared" si="12"/>
        <v>372.03666666666669</v>
      </c>
      <c r="E51" s="66">
        <f t="shared" si="10"/>
        <v>372.03666666666669</v>
      </c>
      <c r="F51" s="73" t="s">
        <v>920</v>
      </c>
      <c r="G51" s="48">
        <v>197.1</v>
      </c>
      <c r="H51" s="50" t="s">
        <v>1003</v>
      </c>
      <c r="I51" s="49">
        <v>369.9</v>
      </c>
      <c r="J51" s="50" t="s">
        <v>916</v>
      </c>
      <c r="K51" s="49">
        <v>549.11</v>
      </c>
      <c r="L51" s="51">
        <f t="shared" si="2"/>
        <v>372.03666666666669</v>
      </c>
    </row>
    <row r="52" spans="1:12" x14ac:dyDescent="0.25">
      <c r="A52" s="59">
        <v>50</v>
      </c>
      <c r="B52" s="64" t="s">
        <v>1004</v>
      </c>
      <c r="C52" s="65">
        <v>1</v>
      </c>
      <c r="D52" s="62">
        <f t="shared" ref="D52:D55" si="13">L52</f>
        <v>367.65333333333336</v>
      </c>
      <c r="E52" s="66">
        <f t="shared" si="10"/>
        <v>367.65333333333336</v>
      </c>
      <c r="F52" s="73" t="s">
        <v>919</v>
      </c>
      <c r="G52" s="48">
        <v>309.89999999999998</v>
      </c>
      <c r="H52" s="50" t="s">
        <v>916</v>
      </c>
      <c r="I52" s="49">
        <v>389.31</v>
      </c>
      <c r="J52" s="50" t="s">
        <v>916</v>
      </c>
      <c r="K52" s="49">
        <v>403.75</v>
      </c>
      <c r="L52" s="51">
        <f t="shared" si="2"/>
        <v>367.65333333333336</v>
      </c>
    </row>
    <row r="53" spans="1:12" ht="45" x14ac:dyDescent="0.25">
      <c r="A53" s="59">
        <v>51</v>
      </c>
      <c r="B53" s="64" t="s">
        <v>1005</v>
      </c>
      <c r="C53" s="65">
        <v>1</v>
      </c>
      <c r="D53" s="62">
        <f t="shared" si="13"/>
        <v>407.01666666666671</v>
      </c>
      <c r="E53" s="66">
        <f t="shared" si="10"/>
        <v>407.01666666666671</v>
      </c>
      <c r="F53" s="73" t="s">
        <v>954</v>
      </c>
      <c r="G53" s="48">
        <v>211.7</v>
      </c>
      <c r="H53" s="50" t="s">
        <v>1010</v>
      </c>
      <c r="I53" s="49">
        <v>212.15</v>
      </c>
      <c r="J53" s="50" t="s">
        <v>1001</v>
      </c>
      <c r="K53" s="49">
        <v>797.2</v>
      </c>
      <c r="L53" s="51">
        <f t="shared" si="2"/>
        <v>407.01666666666671</v>
      </c>
    </row>
    <row r="54" spans="1:12" ht="45" x14ac:dyDescent="0.25">
      <c r="A54" s="59">
        <v>52</v>
      </c>
      <c r="B54" s="64" t="s">
        <v>1006</v>
      </c>
      <c r="C54" s="65">
        <v>1</v>
      </c>
      <c r="D54" s="62">
        <f t="shared" si="13"/>
        <v>153.43666666666664</v>
      </c>
      <c r="E54" s="66">
        <f t="shared" si="10"/>
        <v>153.43666666666664</v>
      </c>
      <c r="F54" s="73" t="s">
        <v>916</v>
      </c>
      <c r="G54" s="48">
        <v>148.19999999999999</v>
      </c>
      <c r="H54" s="50" t="s">
        <v>1011</v>
      </c>
      <c r="I54" s="49">
        <v>154.69999999999999</v>
      </c>
      <c r="J54" s="50" t="s">
        <v>1012</v>
      </c>
      <c r="K54" s="49">
        <v>157.41</v>
      </c>
      <c r="L54" s="51">
        <f t="shared" si="2"/>
        <v>153.43666666666664</v>
      </c>
    </row>
    <row r="55" spans="1:12" ht="30" x14ac:dyDescent="0.25">
      <c r="A55" s="59">
        <v>53</v>
      </c>
      <c r="B55" s="64" t="s">
        <v>1007</v>
      </c>
      <c r="C55" s="65">
        <v>1</v>
      </c>
      <c r="D55" s="62">
        <f t="shared" si="13"/>
        <v>25.45</v>
      </c>
      <c r="E55" s="66">
        <f t="shared" si="10"/>
        <v>25.45</v>
      </c>
      <c r="F55" s="73" t="s">
        <v>964</v>
      </c>
      <c r="G55" s="48">
        <v>20</v>
      </c>
      <c r="H55" s="50" t="s">
        <v>1013</v>
      </c>
      <c r="I55" s="49">
        <v>26.4</v>
      </c>
      <c r="J55" s="50" t="s">
        <v>916</v>
      </c>
      <c r="K55" s="49">
        <v>29.95</v>
      </c>
      <c r="L55" s="51">
        <f t="shared" si="2"/>
        <v>25.45</v>
      </c>
    </row>
    <row r="56" spans="1:12" ht="45" x14ac:dyDescent="0.25">
      <c r="A56" s="59">
        <v>54</v>
      </c>
      <c r="B56" s="64" t="s">
        <v>1008</v>
      </c>
      <c r="C56" s="65">
        <v>1</v>
      </c>
      <c r="D56" s="62">
        <f t="shared" si="0"/>
        <v>759.9899999999999</v>
      </c>
      <c r="E56" s="66">
        <f t="shared" si="1"/>
        <v>759.9899999999999</v>
      </c>
      <c r="F56" s="73" t="s">
        <v>954</v>
      </c>
      <c r="G56" s="48">
        <v>583</v>
      </c>
      <c r="H56" s="50" t="s">
        <v>922</v>
      </c>
      <c r="I56" s="49">
        <v>899.89</v>
      </c>
      <c r="J56" s="50" t="s">
        <v>1014</v>
      </c>
      <c r="K56" s="49">
        <v>797.08</v>
      </c>
      <c r="L56" s="51">
        <f t="shared" si="2"/>
        <v>759.9899999999999</v>
      </c>
    </row>
    <row r="57" spans="1:12" ht="30" x14ac:dyDescent="0.25">
      <c r="A57" s="59">
        <v>55</v>
      </c>
      <c r="B57" s="64" t="s">
        <v>1009</v>
      </c>
      <c r="C57" s="65">
        <v>2</v>
      </c>
      <c r="D57" s="62">
        <f t="shared" si="0"/>
        <v>34.806666666666665</v>
      </c>
      <c r="E57" s="66">
        <f t="shared" si="1"/>
        <v>69.61333333333333</v>
      </c>
      <c r="F57" s="73" t="s">
        <v>964</v>
      </c>
      <c r="G57" s="48">
        <v>11.99</v>
      </c>
      <c r="H57" s="50" t="s">
        <v>1015</v>
      </c>
      <c r="I57" s="49">
        <v>36.53</v>
      </c>
      <c r="J57" s="50" t="s">
        <v>1016</v>
      </c>
      <c r="K57" s="49">
        <v>55.9</v>
      </c>
      <c r="L57" s="51">
        <f t="shared" si="2"/>
        <v>34.806666666666665</v>
      </c>
    </row>
    <row r="58" spans="1:12" x14ac:dyDescent="0.25">
      <c r="A58" s="265" t="s">
        <v>1018</v>
      </c>
      <c r="B58" s="265"/>
      <c r="C58" s="265"/>
      <c r="D58" s="266"/>
      <c r="E58" s="72">
        <f>SUM(E3:E57)</f>
        <v>23410.94</v>
      </c>
      <c r="F58" s="69"/>
      <c r="G58" s="70"/>
      <c r="H58" s="69"/>
      <c r="I58" s="70"/>
      <c r="J58" s="69"/>
      <c r="K58" s="70"/>
      <c r="L58" s="71"/>
    </row>
    <row r="59" spans="1:12" ht="15.75" thickBot="1" x14ac:dyDescent="0.3">
      <c r="A59" s="267" t="s">
        <v>1017</v>
      </c>
      <c r="B59" s="267"/>
      <c r="C59" s="267"/>
      <c r="D59" s="268"/>
      <c r="E59" s="54">
        <f>E58/60</f>
        <v>390.1823333333333</v>
      </c>
      <c r="F59" s="69"/>
      <c r="G59" s="70"/>
      <c r="H59" s="69"/>
      <c r="I59" s="70"/>
      <c r="J59" s="69"/>
      <c r="K59" s="70"/>
      <c r="L59" s="71"/>
    </row>
    <row r="60" spans="1:12" ht="15.75" thickBot="1" x14ac:dyDescent="0.3">
      <c r="A60" s="267" t="s">
        <v>1120</v>
      </c>
      <c r="B60" s="267"/>
      <c r="C60" s="267"/>
      <c r="D60" s="268"/>
      <c r="E60" s="54">
        <f>E59/10</f>
        <v>39.018233333333328</v>
      </c>
      <c r="F60" s="69"/>
      <c r="G60" s="70"/>
      <c r="H60" s="69"/>
      <c r="I60" s="70"/>
      <c r="J60" s="69"/>
      <c r="K60" s="70"/>
      <c r="L60" s="71"/>
    </row>
  </sheetData>
  <mergeCells count="7">
    <mergeCell ref="A60:D60"/>
    <mergeCell ref="A1:E1"/>
    <mergeCell ref="F1:G1"/>
    <mergeCell ref="H1:I1"/>
    <mergeCell ref="J1:K1"/>
    <mergeCell ref="A58:D58"/>
    <mergeCell ref="A59:D59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360E6-19E4-4A3D-A62A-73D4361E89B3}">
  <dimension ref="A1:L33"/>
  <sheetViews>
    <sheetView workbookViewId="0">
      <selection activeCell="O9" sqref="O9"/>
    </sheetView>
  </sheetViews>
  <sheetFormatPr defaultColWidth="9.140625" defaultRowHeight="15" x14ac:dyDescent="0.25"/>
  <cols>
    <col min="1" max="1" width="17.28515625" customWidth="1"/>
    <col min="2" max="2" width="25.42578125" customWidth="1"/>
    <col min="5" max="5" width="16.85546875" customWidth="1"/>
    <col min="6" max="6" width="18.28515625" bestFit="1" customWidth="1"/>
    <col min="7" max="7" width="12.140625" bestFit="1" customWidth="1"/>
    <col min="8" max="8" width="17.85546875" customWidth="1"/>
    <col min="9" max="9" width="12.140625" bestFit="1" customWidth="1"/>
    <col min="10" max="10" width="17.85546875" customWidth="1"/>
    <col min="11" max="12" width="12.140625" bestFit="1" customWidth="1"/>
  </cols>
  <sheetData>
    <row r="1" spans="1:12" ht="15.75" thickBot="1" x14ac:dyDescent="0.3">
      <c r="A1" s="263" t="s">
        <v>1142</v>
      </c>
      <c r="B1" s="264"/>
      <c r="C1" s="264"/>
      <c r="D1" s="264"/>
      <c r="E1" s="264"/>
      <c r="F1" s="262" t="s">
        <v>162</v>
      </c>
      <c r="G1" s="262"/>
      <c r="H1" s="262" t="s">
        <v>163</v>
      </c>
      <c r="I1" s="262"/>
      <c r="J1" s="262" t="s">
        <v>164</v>
      </c>
      <c r="K1" s="262"/>
      <c r="L1" s="67"/>
    </row>
    <row r="2" spans="1:12" ht="30" x14ac:dyDescent="0.25">
      <c r="A2" s="55" t="s">
        <v>165</v>
      </c>
      <c r="B2" s="56" t="s">
        <v>166</v>
      </c>
      <c r="C2" s="56" t="s">
        <v>167</v>
      </c>
      <c r="D2" s="56" t="s">
        <v>168</v>
      </c>
      <c r="E2" s="57" t="s">
        <v>141</v>
      </c>
      <c r="F2" s="58" t="s">
        <v>178</v>
      </c>
      <c r="G2" s="58" t="s">
        <v>169</v>
      </c>
      <c r="H2" s="58" t="s">
        <v>178</v>
      </c>
      <c r="I2" s="58" t="s">
        <v>169</v>
      </c>
      <c r="J2" s="58" t="s">
        <v>178</v>
      </c>
      <c r="K2" s="58" t="s">
        <v>169</v>
      </c>
      <c r="L2" s="68" t="s">
        <v>170</v>
      </c>
    </row>
    <row r="3" spans="1:12" ht="58.5" customHeight="1" x14ac:dyDescent="0.25">
      <c r="A3" s="59">
        <v>1</v>
      </c>
      <c r="B3" s="117" t="s">
        <v>1019</v>
      </c>
      <c r="C3" s="61">
        <v>3</v>
      </c>
      <c r="D3" s="62">
        <f>L3</f>
        <v>141.04</v>
      </c>
      <c r="E3" s="63">
        <f>C3*D3</f>
        <v>423.12</v>
      </c>
      <c r="F3" s="73" t="s">
        <v>916</v>
      </c>
      <c r="G3" s="48">
        <v>119.9</v>
      </c>
      <c r="H3" s="73" t="s">
        <v>916</v>
      </c>
      <c r="I3" s="48">
        <v>146.02000000000001</v>
      </c>
      <c r="J3" s="73" t="s">
        <v>1045</v>
      </c>
      <c r="K3" s="48">
        <v>157.19999999999999</v>
      </c>
      <c r="L3" s="51">
        <f>(G3+I3+K3)/3</f>
        <v>141.04</v>
      </c>
    </row>
    <row r="4" spans="1:12" ht="30" x14ac:dyDescent="0.25">
      <c r="A4" s="59">
        <v>2</v>
      </c>
      <c r="B4" s="117" t="s">
        <v>1020</v>
      </c>
      <c r="C4" s="61">
        <v>3</v>
      </c>
      <c r="D4" s="62">
        <f>L4</f>
        <v>148.41</v>
      </c>
      <c r="E4" s="66">
        <f>C4*D4</f>
        <v>445.23</v>
      </c>
      <c r="F4" s="73" t="s">
        <v>919</v>
      </c>
      <c r="G4" s="48">
        <v>77.400000000000006</v>
      </c>
      <c r="H4" s="50" t="s">
        <v>1046</v>
      </c>
      <c r="I4" s="49">
        <v>177.68</v>
      </c>
      <c r="J4" s="50" t="s">
        <v>1047</v>
      </c>
      <c r="K4" s="49">
        <v>190.15</v>
      </c>
      <c r="L4" s="51">
        <f>(G4+I4+K4)/3</f>
        <v>148.41</v>
      </c>
    </row>
    <row r="5" spans="1:12" ht="45" x14ac:dyDescent="0.25">
      <c r="A5" s="59">
        <v>3</v>
      </c>
      <c r="B5" s="117" t="s">
        <v>1021</v>
      </c>
      <c r="C5" s="61">
        <v>3</v>
      </c>
      <c r="D5" s="62">
        <f t="shared" ref="D5:D30" si="0">L5</f>
        <v>129.98666666666668</v>
      </c>
      <c r="E5" s="66">
        <f t="shared" ref="E5:E30" si="1">C5*D5</f>
        <v>389.96000000000004</v>
      </c>
      <c r="F5" s="73" t="s">
        <v>910</v>
      </c>
      <c r="G5" s="48">
        <v>92.16</v>
      </c>
      <c r="H5" s="50" t="s">
        <v>910</v>
      </c>
      <c r="I5" s="49">
        <v>114.9</v>
      </c>
      <c r="J5" s="50" t="s">
        <v>910</v>
      </c>
      <c r="K5" s="49">
        <v>182.9</v>
      </c>
      <c r="L5" s="51">
        <f t="shared" ref="L5:L30" si="2">(G5+I5+K5)/3</f>
        <v>129.98666666666668</v>
      </c>
    </row>
    <row r="6" spans="1:12" ht="60" x14ac:dyDescent="0.25">
      <c r="A6" s="59">
        <v>4</v>
      </c>
      <c r="B6" s="117" t="s">
        <v>1022</v>
      </c>
      <c r="C6" s="61">
        <v>3</v>
      </c>
      <c r="D6" s="62">
        <f t="shared" si="0"/>
        <v>102.31333333333333</v>
      </c>
      <c r="E6" s="66">
        <f t="shared" si="1"/>
        <v>306.94</v>
      </c>
      <c r="F6" s="73" t="s">
        <v>1048</v>
      </c>
      <c r="G6" s="48">
        <v>93.51</v>
      </c>
      <c r="H6" s="50" t="s">
        <v>954</v>
      </c>
      <c r="I6" s="49">
        <v>105.69</v>
      </c>
      <c r="J6" s="50" t="s">
        <v>1049</v>
      </c>
      <c r="K6" s="49">
        <v>107.74</v>
      </c>
      <c r="L6" s="51">
        <f t="shared" si="2"/>
        <v>102.31333333333333</v>
      </c>
    </row>
    <row r="7" spans="1:12" ht="45" x14ac:dyDescent="0.25">
      <c r="A7" s="59">
        <v>5</v>
      </c>
      <c r="B7" s="117" t="s">
        <v>1023</v>
      </c>
      <c r="C7" s="61">
        <v>3</v>
      </c>
      <c r="D7" s="62">
        <f t="shared" si="0"/>
        <v>179.70666666666668</v>
      </c>
      <c r="E7" s="66">
        <f t="shared" si="1"/>
        <v>539.12</v>
      </c>
      <c r="F7" s="73" t="s">
        <v>1050</v>
      </c>
      <c r="G7" s="48">
        <v>74.2</v>
      </c>
      <c r="H7" s="50" t="s">
        <v>1011</v>
      </c>
      <c r="I7" s="49">
        <v>258.39999999999998</v>
      </c>
      <c r="J7" s="50" t="s">
        <v>1051</v>
      </c>
      <c r="K7" s="49">
        <v>206.52</v>
      </c>
      <c r="L7" s="51">
        <f t="shared" si="2"/>
        <v>179.70666666666668</v>
      </c>
    </row>
    <row r="8" spans="1:12" ht="60" x14ac:dyDescent="0.25">
      <c r="A8" s="59">
        <v>6</v>
      </c>
      <c r="B8" s="117" t="s">
        <v>1024</v>
      </c>
      <c r="C8" s="61">
        <v>3</v>
      </c>
      <c r="D8" s="62">
        <f t="shared" si="0"/>
        <v>110.87666666666667</v>
      </c>
      <c r="E8" s="66">
        <f t="shared" si="1"/>
        <v>332.63</v>
      </c>
      <c r="F8" s="73" t="s">
        <v>913</v>
      </c>
      <c r="G8" s="48">
        <v>56.73</v>
      </c>
      <c r="H8" s="50" t="s">
        <v>947</v>
      </c>
      <c r="I8" s="49">
        <v>68</v>
      </c>
      <c r="J8" s="50" t="s">
        <v>919</v>
      </c>
      <c r="K8" s="49">
        <v>207.9</v>
      </c>
      <c r="L8" s="51">
        <f t="shared" si="2"/>
        <v>110.87666666666667</v>
      </c>
    </row>
    <row r="9" spans="1:12" ht="45" x14ac:dyDescent="0.25">
      <c r="A9" s="59">
        <v>7</v>
      </c>
      <c r="B9" s="117" t="s">
        <v>1025</v>
      </c>
      <c r="C9" s="61">
        <v>3</v>
      </c>
      <c r="D9" s="62">
        <f t="shared" si="0"/>
        <v>42.733333333333327</v>
      </c>
      <c r="E9" s="66">
        <f t="shared" si="1"/>
        <v>128.19999999999999</v>
      </c>
      <c r="F9" s="73" t="s">
        <v>916</v>
      </c>
      <c r="G9" s="48">
        <v>19.989999999999998</v>
      </c>
      <c r="H9" s="50" t="s">
        <v>1052</v>
      </c>
      <c r="I9" s="49">
        <v>33.99</v>
      </c>
      <c r="J9" s="50" t="s">
        <v>947</v>
      </c>
      <c r="K9" s="49">
        <v>74.22</v>
      </c>
      <c r="L9" s="51">
        <f t="shared" si="2"/>
        <v>42.733333333333327</v>
      </c>
    </row>
    <row r="10" spans="1:12" ht="30" x14ac:dyDescent="0.25">
      <c r="A10" s="59">
        <v>8</v>
      </c>
      <c r="B10" s="117" t="s">
        <v>1026</v>
      </c>
      <c r="C10" s="61">
        <v>3</v>
      </c>
      <c r="D10" s="62">
        <f t="shared" si="0"/>
        <v>139.47333333333333</v>
      </c>
      <c r="E10" s="66">
        <f t="shared" si="1"/>
        <v>418.41999999999996</v>
      </c>
      <c r="F10" s="73" t="s">
        <v>916</v>
      </c>
      <c r="G10" s="48">
        <v>116.32</v>
      </c>
      <c r="H10" s="50" t="s">
        <v>916</v>
      </c>
      <c r="I10" s="49">
        <v>132.97999999999999</v>
      </c>
      <c r="J10" s="50" t="s">
        <v>1053</v>
      </c>
      <c r="K10" s="49">
        <v>169.12</v>
      </c>
      <c r="L10" s="51">
        <f t="shared" si="2"/>
        <v>139.47333333333333</v>
      </c>
    </row>
    <row r="11" spans="1:12" ht="45" x14ac:dyDescent="0.25">
      <c r="A11" s="59">
        <v>9</v>
      </c>
      <c r="B11" s="117" t="s">
        <v>1027</v>
      </c>
      <c r="C11" s="61">
        <v>3</v>
      </c>
      <c r="D11" s="62">
        <f t="shared" si="0"/>
        <v>41.49666666666667</v>
      </c>
      <c r="E11" s="66">
        <f t="shared" si="1"/>
        <v>124.49000000000001</v>
      </c>
      <c r="F11" s="73" t="s">
        <v>955</v>
      </c>
      <c r="G11" s="48">
        <v>30.99</v>
      </c>
      <c r="H11" s="50" t="s">
        <v>1011</v>
      </c>
      <c r="I11" s="49">
        <v>44.6</v>
      </c>
      <c r="J11" s="50" t="s">
        <v>1054</v>
      </c>
      <c r="K11" s="49">
        <v>48.9</v>
      </c>
      <c r="L11" s="51">
        <f t="shared" si="2"/>
        <v>41.49666666666667</v>
      </c>
    </row>
    <row r="12" spans="1:12" ht="30" x14ac:dyDescent="0.25">
      <c r="A12" s="59">
        <v>10</v>
      </c>
      <c r="B12" s="117" t="s">
        <v>1028</v>
      </c>
      <c r="C12" s="61">
        <v>3</v>
      </c>
      <c r="D12" s="62">
        <f t="shared" si="0"/>
        <v>56.066666666666663</v>
      </c>
      <c r="E12" s="66">
        <f t="shared" si="1"/>
        <v>168.2</v>
      </c>
      <c r="F12" s="73" t="s">
        <v>916</v>
      </c>
      <c r="G12" s="48">
        <v>42.95</v>
      </c>
      <c r="H12" s="50" t="s">
        <v>954</v>
      </c>
      <c r="I12" s="49">
        <v>56.7</v>
      </c>
      <c r="J12" s="50" t="s">
        <v>964</v>
      </c>
      <c r="K12" s="49">
        <v>68.55</v>
      </c>
      <c r="L12" s="51">
        <f t="shared" si="2"/>
        <v>56.066666666666663</v>
      </c>
    </row>
    <row r="13" spans="1:12" ht="30" x14ac:dyDescent="0.25">
      <c r="A13" s="59">
        <v>11</v>
      </c>
      <c r="B13" s="117" t="s">
        <v>1029</v>
      </c>
      <c r="C13" s="65">
        <v>1</v>
      </c>
      <c r="D13" s="62">
        <f t="shared" si="0"/>
        <v>187.60666666666668</v>
      </c>
      <c r="E13" s="66">
        <f t="shared" si="1"/>
        <v>187.60666666666668</v>
      </c>
      <c r="F13" s="73" t="s">
        <v>959</v>
      </c>
      <c r="G13" s="48">
        <v>135.9</v>
      </c>
      <c r="H13" s="50" t="s">
        <v>947</v>
      </c>
      <c r="I13" s="49">
        <v>141.93</v>
      </c>
      <c r="J13" s="50" t="s">
        <v>916</v>
      </c>
      <c r="K13" s="49">
        <v>284.99</v>
      </c>
      <c r="L13" s="51">
        <f t="shared" si="2"/>
        <v>187.60666666666668</v>
      </c>
    </row>
    <row r="14" spans="1:12" ht="60" x14ac:dyDescent="0.25">
      <c r="A14" s="59">
        <v>12</v>
      </c>
      <c r="B14" s="117" t="s">
        <v>1030</v>
      </c>
      <c r="C14" s="65">
        <v>3</v>
      </c>
      <c r="D14" s="62">
        <f t="shared" si="0"/>
        <v>173.47666666666669</v>
      </c>
      <c r="E14" s="66">
        <f t="shared" si="1"/>
        <v>520.43000000000006</v>
      </c>
      <c r="F14" s="73" t="s">
        <v>1055</v>
      </c>
      <c r="G14" s="48">
        <v>93.1</v>
      </c>
      <c r="H14" s="50" t="s">
        <v>954</v>
      </c>
      <c r="I14" s="49">
        <v>208.33</v>
      </c>
      <c r="J14" s="50" t="s">
        <v>1056</v>
      </c>
      <c r="K14" s="49">
        <v>219</v>
      </c>
      <c r="L14" s="51">
        <f t="shared" si="2"/>
        <v>173.47666666666669</v>
      </c>
    </row>
    <row r="15" spans="1:12" x14ac:dyDescent="0.25">
      <c r="A15" s="59">
        <v>13</v>
      </c>
      <c r="B15" s="117" t="s">
        <v>1031</v>
      </c>
      <c r="C15" s="61">
        <v>3</v>
      </c>
      <c r="D15" s="62">
        <f t="shared" si="0"/>
        <v>8.8033333333333328</v>
      </c>
      <c r="E15" s="66">
        <f t="shared" si="1"/>
        <v>26.409999999999997</v>
      </c>
      <c r="F15" s="73" t="s">
        <v>1057</v>
      </c>
      <c r="G15" s="48">
        <v>7.65</v>
      </c>
      <c r="H15" s="50" t="s">
        <v>964</v>
      </c>
      <c r="I15" s="49">
        <v>8.89</v>
      </c>
      <c r="J15" s="50" t="s">
        <v>916</v>
      </c>
      <c r="K15" s="49">
        <v>9.8699999999999992</v>
      </c>
      <c r="L15" s="51">
        <f t="shared" si="2"/>
        <v>8.8033333333333328</v>
      </c>
    </row>
    <row r="16" spans="1:12" ht="30" x14ac:dyDescent="0.25">
      <c r="A16" s="59">
        <v>14</v>
      </c>
      <c r="B16" s="117" t="s">
        <v>1032</v>
      </c>
      <c r="C16" s="65">
        <v>3</v>
      </c>
      <c r="D16" s="62">
        <f t="shared" si="0"/>
        <v>49.080000000000005</v>
      </c>
      <c r="E16" s="66">
        <f t="shared" si="1"/>
        <v>147.24</v>
      </c>
      <c r="F16" s="73" t="s">
        <v>954</v>
      </c>
      <c r="G16" s="48">
        <v>34.26</v>
      </c>
      <c r="H16" s="50" t="s">
        <v>1058</v>
      </c>
      <c r="I16" s="49">
        <v>42.06</v>
      </c>
      <c r="J16" s="50" t="s">
        <v>919</v>
      </c>
      <c r="K16" s="49">
        <v>70.92</v>
      </c>
      <c r="L16" s="51">
        <f t="shared" si="2"/>
        <v>49.080000000000005</v>
      </c>
    </row>
    <row r="17" spans="1:12" x14ac:dyDescent="0.25">
      <c r="A17" s="59">
        <v>15</v>
      </c>
      <c r="B17" s="117" t="s">
        <v>943</v>
      </c>
      <c r="C17" s="65">
        <v>1</v>
      </c>
      <c r="D17" s="62">
        <f t="shared" si="0"/>
        <v>33.130000000000003</v>
      </c>
      <c r="E17" s="66">
        <f t="shared" si="1"/>
        <v>33.130000000000003</v>
      </c>
      <c r="F17" s="73" t="s">
        <v>1059</v>
      </c>
      <c r="G17" s="48">
        <v>17.5</v>
      </c>
      <c r="H17" s="50" t="s">
        <v>916</v>
      </c>
      <c r="I17" s="49">
        <v>31.9</v>
      </c>
      <c r="J17" s="50" t="s">
        <v>916</v>
      </c>
      <c r="K17" s="49">
        <v>49.99</v>
      </c>
      <c r="L17" s="51">
        <f t="shared" si="2"/>
        <v>33.130000000000003</v>
      </c>
    </row>
    <row r="18" spans="1:12" ht="75" x14ac:dyDescent="0.25">
      <c r="A18" s="59">
        <v>16</v>
      </c>
      <c r="B18" s="117" t="s">
        <v>1033</v>
      </c>
      <c r="C18" s="65">
        <v>1</v>
      </c>
      <c r="D18" s="62">
        <f t="shared" si="0"/>
        <v>543.44999999999993</v>
      </c>
      <c r="E18" s="66">
        <f t="shared" si="1"/>
        <v>543.44999999999993</v>
      </c>
      <c r="F18" s="73" t="s">
        <v>1060</v>
      </c>
      <c r="G18" s="48">
        <v>331.55</v>
      </c>
      <c r="H18" s="50" t="s">
        <v>1054</v>
      </c>
      <c r="I18" s="49">
        <v>528.9</v>
      </c>
      <c r="J18" s="50" t="s">
        <v>947</v>
      </c>
      <c r="K18" s="49">
        <v>769.9</v>
      </c>
      <c r="L18" s="51">
        <f t="shared" si="2"/>
        <v>543.44999999999993</v>
      </c>
    </row>
    <row r="19" spans="1:12" ht="30" x14ac:dyDescent="0.25">
      <c r="A19" s="59">
        <v>17</v>
      </c>
      <c r="B19" s="117" t="s">
        <v>1034</v>
      </c>
      <c r="C19" s="61">
        <v>3</v>
      </c>
      <c r="D19" s="62">
        <f t="shared" si="0"/>
        <v>29.03</v>
      </c>
      <c r="E19" s="66">
        <f t="shared" si="1"/>
        <v>87.09</v>
      </c>
      <c r="F19" s="73" t="s">
        <v>947</v>
      </c>
      <c r="G19" s="48">
        <v>24.99</v>
      </c>
      <c r="H19" s="50" t="s">
        <v>916</v>
      </c>
      <c r="I19" s="49">
        <v>29.2</v>
      </c>
      <c r="J19" s="50" t="s">
        <v>1061</v>
      </c>
      <c r="K19" s="49">
        <v>32.9</v>
      </c>
      <c r="L19" s="51">
        <f t="shared" si="2"/>
        <v>29.03</v>
      </c>
    </row>
    <row r="20" spans="1:12" ht="30" x14ac:dyDescent="0.25">
      <c r="A20" s="59">
        <v>18</v>
      </c>
      <c r="B20" s="117" t="s">
        <v>1035</v>
      </c>
      <c r="C20" s="65">
        <v>3</v>
      </c>
      <c r="D20" s="62">
        <f t="shared" si="0"/>
        <v>156.36333333333334</v>
      </c>
      <c r="E20" s="66">
        <f t="shared" si="1"/>
        <v>469.09000000000003</v>
      </c>
      <c r="F20" s="73" t="s">
        <v>1062</v>
      </c>
      <c r="G20" s="48">
        <v>129.99</v>
      </c>
      <c r="H20" s="50" t="s">
        <v>919</v>
      </c>
      <c r="I20" s="49">
        <v>160</v>
      </c>
      <c r="J20" s="50" t="s">
        <v>922</v>
      </c>
      <c r="K20" s="49">
        <v>179.1</v>
      </c>
      <c r="L20" s="51">
        <f t="shared" si="2"/>
        <v>156.36333333333334</v>
      </c>
    </row>
    <row r="21" spans="1:12" ht="30" x14ac:dyDescent="0.25">
      <c r="A21" s="59">
        <v>19</v>
      </c>
      <c r="B21" s="117" t="s">
        <v>1036</v>
      </c>
      <c r="C21" s="65">
        <v>3</v>
      </c>
      <c r="D21" s="62">
        <f t="shared" si="0"/>
        <v>133.25</v>
      </c>
      <c r="E21" s="66">
        <f t="shared" si="1"/>
        <v>399.75</v>
      </c>
      <c r="F21" s="73" t="s">
        <v>954</v>
      </c>
      <c r="G21" s="48">
        <v>95.2</v>
      </c>
      <c r="H21" s="50" t="s">
        <v>1063</v>
      </c>
      <c r="I21" s="49">
        <v>146.65</v>
      </c>
      <c r="J21" s="50" t="s">
        <v>919</v>
      </c>
      <c r="K21" s="49">
        <v>157.9</v>
      </c>
      <c r="L21" s="51">
        <f t="shared" si="2"/>
        <v>133.25</v>
      </c>
    </row>
    <row r="22" spans="1:12" ht="45" x14ac:dyDescent="0.25">
      <c r="A22" s="59">
        <v>20</v>
      </c>
      <c r="B22" s="117" t="s">
        <v>1037</v>
      </c>
      <c r="C22" s="65">
        <v>3</v>
      </c>
      <c r="D22" s="62">
        <f t="shared" si="0"/>
        <v>286.26666666666665</v>
      </c>
      <c r="E22" s="66">
        <f t="shared" si="1"/>
        <v>858.8</v>
      </c>
      <c r="F22" s="73" t="s">
        <v>947</v>
      </c>
      <c r="G22" s="48">
        <v>219.9</v>
      </c>
      <c r="H22" s="50" t="s">
        <v>954</v>
      </c>
      <c r="I22" s="49">
        <v>269.89999999999998</v>
      </c>
      <c r="J22" s="50" t="s">
        <v>1001</v>
      </c>
      <c r="K22" s="49">
        <v>369</v>
      </c>
      <c r="L22" s="51">
        <f t="shared" si="2"/>
        <v>286.26666666666665</v>
      </c>
    </row>
    <row r="23" spans="1:12" ht="30" x14ac:dyDescent="0.25">
      <c r="A23" s="59">
        <v>21</v>
      </c>
      <c r="B23" s="117" t="s">
        <v>1038</v>
      </c>
      <c r="C23" s="61">
        <v>3</v>
      </c>
      <c r="D23" s="62">
        <f t="shared" si="0"/>
        <v>38.903333333333329</v>
      </c>
      <c r="E23" s="66">
        <f t="shared" si="1"/>
        <v>116.70999999999998</v>
      </c>
      <c r="F23" s="73" t="s">
        <v>910</v>
      </c>
      <c r="G23" s="48">
        <v>21.99</v>
      </c>
      <c r="H23" s="50" t="s">
        <v>916</v>
      </c>
      <c r="I23" s="49">
        <v>24.9</v>
      </c>
      <c r="J23" s="50" t="s">
        <v>919</v>
      </c>
      <c r="K23" s="49">
        <v>69.819999999999993</v>
      </c>
      <c r="L23" s="51">
        <f t="shared" si="2"/>
        <v>38.903333333333329</v>
      </c>
    </row>
    <row r="24" spans="1:12" x14ac:dyDescent="0.25">
      <c r="A24" s="59">
        <v>22</v>
      </c>
      <c r="B24" s="117" t="s">
        <v>1039</v>
      </c>
      <c r="C24" s="65">
        <v>3</v>
      </c>
      <c r="D24" s="62">
        <f t="shared" si="0"/>
        <v>252.54666666666665</v>
      </c>
      <c r="E24" s="66">
        <f t="shared" si="1"/>
        <v>757.64</v>
      </c>
      <c r="F24" s="73" t="s">
        <v>954</v>
      </c>
      <c r="G24" s="48">
        <v>152.9</v>
      </c>
      <c r="H24" s="50" t="s">
        <v>916</v>
      </c>
      <c r="I24" s="49">
        <v>199</v>
      </c>
      <c r="J24" s="50" t="s">
        <v>965</v>
      </c>
      <c r="K24" s="49">
        <v>405.74</v>
      </c>
      <c r="L24" s="51">
        <f t="shared" si="2"/>
        <v>252.54666666666665</v>
      </c>
    </row>
    <row r="25" spans="1:12" ht="105" x14ac:dyDescent="0.25">
      <c r="A25" s="59">
        <v>23</v>
      </c>
      <c r="B25" s="117" t="s">
        <v>977</v>
      </c>
      <c r="C25" s="65">
        <v>1</v>
      </c>
      <c r="D25" s="62">
        <f t="shared" si="0"/>
        <v>363.2</v>
      </c>
      <c r="E25" s="66">
        <f t="shared" si="1"/>
        <v>363.2</v>
      </c>
      <c r="F25" s="73" t="s">
        <v>910</v>
      </c>
      <c r="G25" s="48">
        <v>320.89999999999998</v>
      </c>
      <c r="H25" s="50" t="s">
        <v>1051</v>
      </c>
      <c r="I25" s="49">
        <v>338.8</v>
      </c>
      <c r="J25" s="50" t="s">
        <v>963</v>
      </c>
      <c r="K25" s="49">
        <v>429.9</v>
      </c>
      <c r="L25" s="51">
        <f t="shared" si="2"/>
        <v>363.2</v>
      </c>
    </row>
    <row r="26" spans="1:12" ht="45" x14ac:dyDescent="0.25">
      <c r="A26" s="59">
        <v>24</v>
      </c>
      <c r="B26" s="117" t="s">
        <v>1040</v>
      </c>
      <c r="C26" s="65">
        <v>3</v>
      </c>
      <c r="D26" s="62">
        <f t="shared" si="0"/>
        <v>80.796666666666667</v>
      </c>
      <c r="E26" s="66">
        <f t="shared" si="1"/>
        <v>242.39</v>
      </c>
      <c r="F26" s="73" t="s">
        <v>1064</v>
      </c>
      <c r="G26" s="48">
        <v>29.99</v>
      </c>
      <c r="H26" s="50" t="s">
        <v>910</v>
      </c>
      <c r="I26" s="49">
        <v>70.900000000000006</v>
      </c>
      <c r="J26" s="50" t="s">
        <v>916</v>
      </c>
      <c r="K26" s="49">
        <v>141.5</v>
      </c>
      <c r="L26" s="51">
        <f t="shared" si="2"/>
        <v>80.796666666666667</v>
      </c>
    </row>
    <row r="27" spans="1:12" ht="30" x14ac:dyDescent="0.25">
      <c r="A27" s="59">
        <v>25</v>
      </c>
      <c r="B27" s="117" t="s">
        <v>1041</v>
      </c>
      <c r="C27" s="61">
        <v>3</v>
      </c>
      <c r="D27" s="62">
        <f t="shared" si="0"/>
        <v>111.86333333333334</v>
      </c>
      <c r="E27" s="66">
        <f t="shared" si="1"/>
        <v>335.59000000000003</v>
      </c>
      <c r="F27" s="73" t="s">
        <v>916</v>
      </c>
      <c r="G27" s="48">
        <v>44.49</v>
      </c>
      <c r="H27" s="50" t="s">
        <v>947</v>
      </c>
      <c r="I27" s="49">
        <v>110</v>
      </c>
      <c r="J27" s="50" t="s">
        <v>1010</v>
      </c>
      <c r="K27" s="49">
        <v>181.1</v>
      </c>
      <c r="L27" s="51">
        <f t="shared" si="2"/>
        <v>111.86333333333334</v>
      </c>
    </row>
    <row r="28" spans="1:12" x14ac:dyDescent="0.25">
      <c r="A28" s="59">
        <v>26</v>
      </c>
      <c r="B28" s="117" t="s">
        <v>1042</v>
      </c>
      <c r="C28" s="65">
        <v>3</v>
      </c>
      <c r="D28" s="62">
        <f t="shared" si="0"/>
        <v>21.663333333333338</v>
      </c>
      <c r="E28" s="66">
        <f t="shared" si="1"/>
        <v>64.990000000000009</v>
      </c>
      <c r="F28" s="73" t="s">
        <v>1065</v>
      </c>
      <c r="G28" s="48">
        <v>13.99</v>
      </c>
      <c r="H28" s="50" t="s">
        <v>916</v>
      </c>
      <c r="I28" s="49">
        <v>24.9</v>
      </c>
      <c r="J28" s="50" t="s">
        <v>954</v>
      </c>
      <c r="K28" s="49">
        <v>26.1</v>
      </c>
      <c r="L28" s="51">
        <f t="shared" si="2"/>
        <v>21.663333333333338</v>
      </c>
    </row>
    <row r="29" spans="1:12" ht="30" x14ac:dyDescent="0.25">
      <c r="A29" s="59">
        <v>27</v>
      </c>
      <c r="B29" s="117" t="s">
        <v>1043</v>
      </c>
      <c r="C29" s="65">
        <v>3</v>
      </c>
      <c r="D29" s="62">
        <f t="shared" si="0"/>
        <v>22.483333333333331</v>
      </c>
      <c r="E29" s="66">
        <f t="shared" si="1"/>
        <v>67.449999999999989</v>
      </c>
      <c r="F29" s="73" t="s">
        <v>1066</v>
      </c>
      <c r="G29" s="48">
        <v>15.65</v>
      </c>
      <c r="H29" s="50" t="s">
        <v>910</v>
      </c>
      <c r="I29" s="49">
        <v>25.9</v>
      </c>
      <c r="J29" s="50" t="s">
        <v>916</v>
      </c>
      <c r="K29" s="49">
        <v>25.9</v>
      </c>
      <c r="L29" s="51">
        <f t="shared" si="2"/>
        <v>22.483333333333331</v>
      </c>
    </row>
    <row r="30" spans="1:12" x14ac:dyDescent="0.25">
      <c r="A30" s="59">
        <v>28</v>
      </c>
      <c r="B30" s="117" t="s">
        <v>1044</v>
      </c>
      <c r="C30" s="65">
        <v>3</v>
      </c>
      <c r="D30" s="62">
        <f t="shared" si="0"/>
        <v>34.846666666666664</v>
      </c>
      <c r="E30" s="66">
        <f t="shared" si="1"/>
        <v>104.53999999999999</v>
      </c>
      <c r="F30" s="73" t="s">
        <v>919</v>
      </c>
      <c r="G30" s="48">
        <v>27.8</v>
      </c>
      <c r="H30" s="50" t="s">
        <v>916</v>
      </c>
      <c r="I30" s="49">
        <v>31.83</v>
      </c>
      <c r="J30" s="50" t="s">
        <v>964</v>
      </c>
      <c r="K30" s="49">
        <v>44.91</v>
      </c>
      <c r="L30" s="51">
        <f t="shared" si="2"/>
        <v>34.846666666666664</v>
      </c>
    </row>
    <row r="31" spans="1:12" x14ac:dyDescent="0.25">
      <c r="A31" s="265" t="s">
        <v>1018</v>
      </c>
      <c r="B31" s="265"/>
      <c r="C31" s="265"/>
      <c r="D31" s="266"/>
      <c r="E31" s="72">
        <f>SUM(E3:E30)</f>
        <v>8601.8166666666675</v>
      </c>
      <c r="F31" s="69"/>
      <c r="G31" s="70"/>
      <c r="H31" s="69"/>
      <c r="I31" s="70"/>
      <c r="J31" s="69"/>
      <c r="K31" s="70"/>
      <c r="L31" s="71"/>
    </row>
    <row r="32" spans="1:12" ht="15.75" thickBot="1" x14ac:dyDescent="0.3">
      <c r="A32" s="267" t="s">
        <v>1017</v>
      </c>
      <c r="B32" s="267"/>
      <c r="C32" s="267"/>
      <c r="D32" s="268"/>
      <c r="E32" s="54">
        <f>E31/60</f>
        <v>143.36361111111111</v>
      </c>
      <c r="F32" s="69"/>
      <c r="G32" s="70"/>
      <c r="H32" s="69"/>
      <c r="I32" s="70"/>
      <c r="J32" s="69"/>
      <c r="K32" s="70"/>
      <c r="L32" s="71"/>
    </row>
    <row r="33" spans="1:12" ht="15.75" thickBot="1" x14ac:dyDescent="0.3">
      <c r="A33" s="267" t="s">
        <v>1067</v>
      </c>
      <c r="B33" s="267"/>
      <c r="C33" s="267"/>
      <c r="D33" s="268"/>
      <c r="E33" s="54">
        <f>E32/3</f>
        <v>47.787870370370371</v>
      </c>
      <c r="F33" s="69"/>
      <c r="G33" s="70"/>
      <c r="H33" s="69"/>
      <c r="I33" s="70"/>
      <c r="J33" s="69"/>
      <c r="K33" s="70"/>
      <c r="L33" s="71"/>
    </row>
  </sheetData>
  <mergeCells count="7">
    <mergeCell ref="A33:D33"/>
    <mergeCell ref="A1:E1"/>
    <mergeCell ref="F1:G1"/>
    <mergeCell ref="H1:I1"/>
    <mergeCell ref="J1:K1"/>
    <mergeCell ref="A31:D31"/>
    <mergeCell ref="A32:D32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FC5AE-B342-4E6D-B526-96420F9EB8C1}">
  <dimension ref="B4:L131"/>
  <sheetViews>
    <sheetView topLeftCell="A17" zoomScaleNormal="100" workbookViewId="0">
      <selection activeCell="M120" sqref="M120"/>
    </sheetView>
  </sheetViews>
  <sheetFormatPr defaultRowHeight="15" x14ac:dyDescent="0.25"/>
  <cols>
    <col min="1" max="1" width="22.42578125" customWidth="1"/>
    <col min="2" max="2" width="18.28515625" customWidth="1"/>
    <col min="4" max="4" width="52.28515625" bestFit="1" customWidth="1"/>
    <col min="5" max="5" width="12.140625" bestFit="1" customWidth="1"/>
    <col min="6" max="6" width="13" customWidth="1"/>
    <col min="9" max="9" width="52.28515625" bestFit="1" customWidth="1"/>
    <col min="10" max="10" width="12.140625" bestFit="1" customWidth="1"/>
    <col min="11" max="11" width="13" customWidth="1"/>
  </cols>
  <sheetData>
    <row r="4" spans="3:11" x14ac:dyDescent="0.25">
      <c r="C4" s="169" t="s">
        <v>153</v>
      </c>
      <c r="D4" s="169"/>
      <c r="E4" s="169"/>
      <c r="F4" s="169"/>
      <c r="H4" s="286" t="s">
        <v>153</v>
      </c>
      <c r="I4" s="287"/>
      <c r="J4" s="287"/>
      <c r="K4" s="288"/>
    </row>
    <row r="5" spans="3:11" x14ac:dyDescent="0.25">
      <c r="C5" s="170" t="s">
        <v>35</v>
      </c>
      <c r="D5" s="170"/>
      <c r="E5" s="170"/>
      <c r="F5" s="170"/>
      <c r="H5" s="283" t="s">
        <v>35</v>
      </c>
      <c r="I5" s="284"/>
      <c r="J5" s="284"/>
      <c r="K5" s="285"/>
    </row>
    <row r="6" spans="3:11" x14ac:dyDescent="0.25">
      <c r="C6" s="171" t="s">
        <v>36</v>
      </c>
      <c r="D6" s="171"/>
      <c r="E6" s="171"/>
      <c r="F6" s="171"/>
      <c r="H6" s="172" t="s">
        <v>36</v>
      </c>
      <c r="I6" s="185"/>
      <c r="J6" s="185"/>
      <c r="K6" s="173"/>
    </row>
    <row r="7" spans="3:11" x14ac:dyDescent="0.25">
      <c r="C7" s="6" t="s">
        <v>37</v>
      </c>
      <c r="D7" s="7" t="s">
        <v>38</v>
      </c>
      <c r="E7" s="172"/>
      <c r="F7" s="173"/>
      <c r="H7" s="6" t="s">
        <v>37</v>
      </c>
      <c r="I7" s="7" t="s">
        <v>38</v>
      </c>
      <c r="J7" s="172"/>
      <c r="K7" s="173"/>
    </row>
    <row r="8" spans="3:11" x14ac:dyDescent="0.25">
      <c r="C8" s="6" t="s">
        <v>39</v>
      </c>
      <c r="D8" s="7" t="s">
        <v>40</v>
      </c>
      <c r="E8" s="176" t="s">
        <v>41</v>
      </c>
      <c r="F8" s="176"/>
      <c r="H8" s="6" t="s">
        <v>39</v>
      </c>
      <c r="I8" s="7" t="s">
        <v>40</v>
      </c>
      <c r="J8" s="271" t="s">
        <v>41</v>
      </c>
      <c r="K8" s="273"/>
    </row>
    <row r="9" spans="3:11" ht="38.25" customHeight="1" x14ac:dyDescent="0.25">
      <c r="C9" s="8" t="s">
        <v>42</v>
      </c>
      <c r="D9" s="9" t="s">
        <v>43</v>
      </c>
      <c r="E9" s="269" t="s">
        <v>199</v>
      </c>
      <c r="F9" s="270"/>
      <c r="H9" s="8" t="s">
        <v>42</v>
      </c>
      <c r="I9" s="9" t="s">
        <v>43</v>
      </c>
      <c r="J9" s="269" t="s">
        <v>199</v>
      </c>
      <c r="K9" s="270"/>
    </row>
    <row r="10" spans="3:11" x14ac:dyDescent="0.25">
      <c r="C10" s="6" t="s">
        <v>44</v>
      </c>
      <c r="D10" s="7" t="s">
        <v>45</v>
      </c>
      <c r="E10" s="172" t="s">
        <v>46</v>
      </c>
      <c r="F10" s="173"/>
      <c r="H10" s="6" t="s">
        <v>44</v>
      </c>
      <c r="I10" s="7" t="s">
        <v>45</v>
      </c>
      <c r="J10" s="172" t="s">
        <v>46</v>
      </c>
      <c r="K10" s="173"/>
    </row>
    <row r="11" spans="3:11" x14ac:dyDescent="0.25">
      <c r="C11" s="6" t="s">
        <v>47</v>
      </c>
      <c r="D11" s="7" t="s">
        <v>48</v>
      </c>
      <c r="E11" s="172" t="s">
        <v>49</v>
      </c>
      <c r="F11" s="173"/>
      <c r="H11" s="6" t="s">
        <v>47</v>
      </c>
      <c r="I11" s="7" t="s">
        <v>48</v>
      </c>
      <c r="J11" s="172" t="s">
        <v>49</v>
      </c>
      <c r="K11" s="173"/>
    </row>
    <row r="12" spans="3:11" x14ac:dyDescent="0.25">
      <c r="C12" s="6" t="s">
        <v>50</v>
      </c>
      <c r="D12" s="7" t="s">
        <v>51</v>
      </c>
      <c r="E12" s="174">
        <v>40</v>
      </c>
      <c r="F12" s="175"/>
      <c r="H12" s="6" t="s">
        <v>50</v>
      </c>
      <c r="I12" s="7" t="s">
        <v>51</v>
      </c>
      <c r="J12" s="174">
        <v>40</v>
      </c>
      <c r="K12" s="175"/>
    </row>
    <row r="13" spans="3:11" x14ac:dyDescent="0.25">
      <c r="C13" s="6" t="s">
        <v>52</v>
      </c>
      <c r="D13" s="7" t="s">
        <v>53</v>
      </c>
      <c r="E13" s="172">
        <v>12</v>
      </c>
      <c r="F13" s="173"/>
      <c r="H13" s="6" t="s">
        <v>52</v>
      </c>
      <c r="I13" s="7" t="s">
        <v>53</v>
      </c>
      <c r="J13" s="172">
        <v>12</v>
      </c>
      <c r="K13" s="173"/>
    </row>
    <row r="14" spans="3:11" x14ac:dyDescent="0.25">
      <c r="C14" s="179" t="s">
        <v>155</v>
      </c>
      <c r="D14" s="179"/>
      <c r="E14" s="179"/>
      <c r="F14" s="179"/>
      <c r="H14" s="196" t="s">
        <v>155</v>
      </c>
      <c r="I14" s="197"/>
      <c r="J14" s="197"/>
      <c r="K14" s="198"/>
    </row>
    <row r="15" spans="3:11" x14ac:dyDescent="0.25">
      <c r="C15" s="180" t="s">
        <v>54</v>
      </c>
      <c r="D15" s="181"/>
      <c r="E15" s="181"/>
      <c r="F15" s="182"/>
      <c r="H15" s="180" t="s">
        <v>54</v>
      </c>
      <c r="I15" s="181"/>
      <c r="J15" s="181"/>
      <c r="K15" s="182"/>
    </row>
    <row r="16" spans="3:11" x14ac:dyDescent="0.25">
      <c r="C16" s="176" t="s">
        <v>55</v>
      </c>
      <c r="D16" s="176"/>
      <c r="E16" s="176"/>
      <c r="F16" s="176"/>
      <c r="H16" s="271" t="s">
        <v>55</v>
      </c>
      <c r="I16" s="272"/>
      <c r="J16" s="272"/>
      <c r="K16" s="273"/>
    </row>
    <row r="17" spans="3:12" x14ac:dyDescent="0.25">
      <c r="C17" s="6">
        <v>1</v>
      </c>
      <c r="D17" s="7" t="s">
        <v>56</v>
      </c>
      <c r="E17" s="172" t="s">
        <v>157</v>
      </c>
      <c r="F17" s="173" t="s">
        <v>57</v>
      </c>
      <c r="H17" s="6">
        <v>1</v>
      </c>
      <c r="I17" s="7" t="s">
        <v>56</v>
      </c>
      <c r="J17" s="172" t="s">
        <v>157</v>
      </c>
      <c r="K17" s="173" t="s">
        <v>57</v>
      </c>
    </row>
    <row r="18" spans="3:12" x14ac:dyDescent="0.25">
      <c r="C18" s="6"/>
      <c r="D18" s="10" t="s">
        <v>158</v>
      </c>
      <c r="E18" s="172">
        <v>40</v>
      </c>
      <c r="F18" s="173">
        <v>1</v>
      </c>
      <c r="H18" s="6"/>
      <c r="I18" s="10" t="s">
        <v>158</v>
      </c>
      <c r="J18" s="172">
        <v>40</v>
      </c>
      <c r="K18" s="173">
        <v>1</v>
      </c>
    </row>
    <row r="19" spans="3:12" ht="39" customHeight="1" x14ac:dyDescent="0.25">
      <c r="C19" s="6">
        <v>2</v>
      </c>
      <c r="D19" s="11" t="s">
        <v>58</v>
      </c>
      <c r="E19" s="177" t="s">
        <v>156</v>
      </c>
      <c r="F19" s="178"/>
      <c r="H19" s="6">
        <v>2</v>
      </c>
      <c r="I19" s="11" t="s">
        <v>58</v>
      </c>
      <c r="J19" s="177" t="s">
        <v>156</v>
      </c>
      <c r="K19" s="178"/>
    </row>
    <row r="20" spans="3:12" x14ac:dyDescent="0.25">
      <c r="C20" s="176" t="s">
        <v>59</v>
      </c>
      <c r="D20" s="176"/>
      <c r="E20" s="176"/>
      <c r="F20" s="176"/>
      <c r="H20" s="271" t="s">
        <v>59</v>
      </c>
      <c r="I20" s="272"/>
      <c r="J20" s="272"/>
      <c r="K20" s="273"/>
    </row>
    <row r="21" spans="3:12" x14ac:dyDescent="0.25">
      <c r="C21" s="6">
        <v>3</v>
      </c>
      <c r="D21" s="183" t="s">
        <v>60</v>
      </c>
      <c r="E21" s="184"/>
      <c r="F21" s="31">
        <v>12903</v>
      </c>
      <c r="H21" s="6">
        <v>3</v>
      </c>
      <c r="I21" s="183" t="s">
        <v>60</v>
      </c>
      <c r="J21" s="184"/>
      <c r="K21" s="31">
        <v>12903</v>
      </c>
      <c r="L21" s="160" t="s">
        <v>1154</v>
      </c>
    </row>
    <row r="22" spans="3:12" x14ac:dyDescent="0.25">
      <c r="C22" s="6">
        <v>4</v>
      </c>
      <c r="D22" s="183" t="s">
        <v>61</v>
      </c>
      <c r="E22" s="184"/>
      <c r="F22" s="32" t="s">
        <v>200</v>
      </c>
      <c r="H22" s="6">
        <v>4</v>
      </c>
      <c r="I22" s="183" t="s">
        <v>61</v>
      </c>
      <c r="J22" s="184"/>
      <c r="K22" s="32" t="s">
        <v>200</v>
      </c>
    </row>
    <row r="23" spans="3:12" x14ac:dyDescent="0.25">
      <c r="C23" s="6">
        <v>5</v>
      </c>
      <c r="D23" s="183" t="s">
        <v>62</v>
      </c>
      <c r="E23" s="184"/>
      <c r="F23" s="33">
        <v>45658</v>
      </c>
      <c r="H23" s="6">
        <v>5</v>
      </c>
      <c r="I23" s="183" t="s">
        <v>62</v>
      </c>
      <c r="J23" s="184"/>
      <c r="K23" s="33">
        <v>45658</v>
      </c>
    </row>
    <row r="24" spans="3:12" x14ac:dyDescent="0.25">
      <c r="C24" s="172"/>
      <c r="D24" s="185"/>
      <c r="E24" s="185"/>
      <c r="F24" s="173"/>
      <c r="H24" s="172"/>
      <c r="I24" s="185"/>
      <c r="J24" s="185"/>
      <c r="K24" s="173"/>
    </row>
    <row r="25" spans="3:12" x14ac:dyDescent="0.25">
      <c r="C25" s="186" t="s">
        <v>63</v>
      </c>
      <c r="D25" s="186"/>
      <c r="E25" s="186"/>
      <c r="F25" s="186"/>
      <c r="H25" s="274" t="s">
        <v>63</v>
      </c>
      <c r="I25" s="275"/>
      <c r="J25" s="275"/>
      <c r="K25" s="276"/>
    </row>
    <row r="26" spans="3:12" x14ac:dyDescent="0.25">
      <c r="C26" s="196"/>
      <c r="D26" s="197"/>
      <c r="E26" s="197"/>
      <c r="F26" s="198"/>
      <c r="H26" s="196"/>
      <c r="I26" s="197"/>
      <c r="J26" s="197"/>
      <c r="K26" s="198"/>
    </row>
    <row r="27" spans="3:12" x14ac:dyDescent="0.25">
      <c r="C27" s="12">
        <v>1</v>
      </c>
      <c r="D27" s="199" t="s">
        <v>64</v>
      </c>
      <c r="E27" s="200"/>
      <c r="F27" s="12" t="s">
        <v>65</v>
      </c>
      <c r="H27" s="12">
        <v>1</v>
      </c>
      <c r="I27" s="199" t="s">
        <v>64</v>
      </c>
      <c r="J27" s="200"/>
      <c r="K27" s="12" t="s">
        <v>65</v>
      </c>
    </row>
    <row r="28" spans="3:12" x14ac:dyDescent="0.25">
      <c r="C28" s="6" t="s">
        <v>66</v>
      </c>
      <c r="D28" s="7" t="s">
        <v>67</v>
      </c>
      <c r="E28" s="34">
        <v>40</v>
      </c>
      <c r="F28" s="13">
        <f>F21/220*40</f>
        <v>2346</v>
      </c>
      <c r="H28" s="6" t="s">
        <v>66</v>
      </c>
      <c r="I28" s="7" t="s">
        <v>67</v>
      </c>
      <c r="J28" s="34">
        <v>40</v>
      </c>
      <c r="K28" s="13">
        <f>K21/220*40</f>
        <v>2346</v>
      </c>
    </row>
    <row r="29" spans="3:12" x14ac:dyDescent="0.25">
      <c r="C29" s="6" t="s">
        <v>39</v>
      </c>
      <c r="D29" s="7" t="s">
        <v>68</v>
      </c>
      <c r="E29" s="14">
        <v>0</v>
      </c>
      <c r="F29" s="15">
        <v>0</v>
      </c>
      <c r="H29" s="6" t="s">
        <v>39</v>
      </c>
      <c r="I29" s="7" t="s">
        <v>68</v>
      </c>
      <c r="J29" s="14">
        <v>0</v>
      </c>
      <c r="K29" s="15">
        <v>0</v>
      </c>
    </row>
    <row r="30" spans="3:12" x14ac:dyDescent="0.25">
      <c r="C30" s="6" t="s">
        <v>42</v>
      </c>
      <c r="D30" s="7" t="s">
        <v>69</v>
      </c>
      <c r="E30" s="14">
        <v>0</v>
      </c>
      <c r="F30" s="16">
        <v>0</v>
      </c>
      <c r="H30" s="6" t="s">
        <v>42</v>
      </c>
      <c r="I30" s="7" t="s">
        <v>69</v>
      </c>
      <c r="J30" s="14">
        <v>0</v>
      </c>
      <c r="K30" s="16">
        <v>0</v>
      </c>
    </row>
    <row r="31" spans="3:12" x14ac:dyDescent="0.25">
      <c r="C31" s="6" t="s">
        <v>44</v>
      </c>
      <c r="D31" s="7" t="s">
        <v>70</v>
      </c>
      <c r="E31" s="14">
        <v>0</v>
      </c>
      <c r="F31" s="16">
        <v>0</v>
      </c>
      <c r="H31" s="6" t="s">
        <v>44</v>
      </c>
      <c r="I31" s="7" t="s">
        <v>70</v>
      </c>
      <c r="J31" s="14">
        <v>0</v>
      </c>
      <c r="K31" s="16">
        <v>0</v>
      </c>
    </row>
    <row r="32" spans="3:12" x14ac:dyDescent="0.25">
      <c r="C32" s="6" t="s">
        <v>47</v>
      </c>
      <c r="D32" s="7" t="s">
        <v>71</v>
      </c>
      <c r="E32" s="14">
        <v>0</v>
      </c>
      <c r="F32" s="16">
        <v>0</v>
      </c>
      <c r="H32" s="6" t="s">
        <v>47</v>
      </c>
      <c r="I32" s="7" t="s">
        <v>71</v>
      </c>
      <c r="J32" s="14">
        <v>0</v>
      </c>
      <c r="K32" s="16">
        <v>0</v>
      </c>
    </row>
    <row r="33" spans="3:11" x14ac:dyDescent="0.25">
      <c r="C33" s="6" t="s">
        <v>50</v>
      </c>
      <c r="D33" s="7" t="s">
        <v>72</v>
      </c>
      <c r="E33" s="14">
        <v>0</v>
      </c>
      <c r="F33" s="16">
        <v>0</v>
      </c>
      <c r="H33" s="6" t="s">
        <v>50</v>
      </c>
      <c r="I33" s="7" t="s">
        <v>72</v>
      </c>
      <c r="J33" s="14">
        <v>0</v>
      </c>
      <c r="K33" s="16">
        <v>0</v>
      </c>
    </row>
    <row r="34" spans="3:11" x14ac:dyDescent="0.25">
      <c r="C34" s="199" t="s">
        <v>73</v>
      </c>
      <c r="D34" s="201"/>
      <c r="E34" s="200"/>
      <c r="F34" s="17">
        <f>SUM(F28:F33)</f>
        <v>2346</v>
      </c>
      <c r="H34" s="199" t="s">
        <v>73</v>
      </c>
      <c r="I34" s="201"/>
      <c r="J34" s="200"/>
      <c r="K34" s="17">
        <f>SUM(K28:K33)</f>
        <v>2346</v>
      </c>
    </row>
    <row r="35" spans="3:11" x14ac:dyDescent="0.25">
      <c r="C35" s="189"/>
      <c r="D35" s="189"/>
      <c r="E35" s="189"/>
      <c r="F35" s="189"/>
      <c r="H35" s="193"/>
      <c r="I35" s="194"/>
      <c r="J35" s="194"/>
      <c r="K35" s="195"/>
    </row>
    <row r="36" spans="3:11" x14ac:dyDescent="0.25">
      <c r="C36" s="190" t="s">
        <v>74</v>
      </c>
      <c r="D36" s="191"/>
      <c r="E36" s="191"/>
      <c r="F36" s="192"/>
      <c r="H36" s="190" t="s">
        <v>74</v>
      </c>
      <c r="I36" s="191"/>
      <c r="J36" s="191"/>
      <c r="K36" s="192"/>
    </row>
    <row r="37" spans="3:11" x14ac:dyDescent="0.25">
      <c r="C37" s="193"/>
      <c r="D37" s="194"/>
      <c r="E37" s="194"/>
      <c r="F37" s="195"/>
      <c r="H37" s="193"/>
      <c r="I37" s="194"/>
      <c r="J37" s="194"/>
      <c r="K37" s="195"/>
    </row>
    <row r="38" spans="3:11" x14ac:dyDescent="0.25">
      <c r="C38" s="18" t="s">
        <v>75</v>
      </c>
      <c r="D38" s="19" t="s">
        <v>76</v>
      </c>
      <c r="E38" s="18" t="s">
        <v>77</v>
      </c>
      <c r="F38" s="18" t="s">
        <v>65</v>
      </c>
      <c r="H38" s="18" t="s">
        <v>75</v>
      </c>
      <c r="I38" s="19" t="s">
        <v>76</v>
      </c>
      <c r="J38" s="18" t="s">
        <v>77</v>
      </c>
      <c r="K38" s="18" t="s">
        <v>65</v>
      </c>
    </row>
    <row r="39" spans="3:11" x14ac:dyDescent="0.25">
      <c r="C39" s="20" t="s">
        <v>66</v>
      </c>
      <c r="D39" s="21" t="s">
        <v>78</v>
      </c>
      <c r="E39" s="44">
        <f>1/12</f>
        <v>8.3333333333333329E-2</v>
      </c>
      <c r="F39" s="20">
        <f>F28*E39</f>
        <v>195.5</v>
      </c>
      <c r="H39" s="20" t="s">
        <v>66</v>
      </c>
      <c r="I39" s="21" t="s">
        <v>78</v>
      </c>
      <c r="J39" s="44">
        <f>1/12</f>
        <v>8.3333333333333329E-2</v>
      </c>
      <c r="K39" s="20">
        <f>K28*J39</f>
        <v>195.5</v>
      </c>
    </row>
    <row r="40" spans="3:11" x14ac:dyDescent="0.25">
      <c r="C40" s="20" t="s">
        <v>39</v>
      </c>
      <c r="D40" s="21" t="s">
        <v>79</v>
      </c>
      <c r="E40" s="28">
        <f>(1/12)+(1/(12*3))</f>
        <v>0.1111111111111111</v>
      </c>
      <c r="F40" s="20">
        <f>E40*F28</f>
        <v>260.66666666666663</v>
      </c>
      <c r="H40" s="20" t="s">
        <v>39</v>
      </c>
      <c r="I40" s="21" t="s">
        <v>79</v>
      </c>
      <c r="J40" s="28">
        <f>(1/12)+(1/(12*3))</f>
        <v>0.1111111111111111</v>
      </c>
      <c r="K40" s="20">
        <f>J40*K28</f>
        <v>260.66666666666663</v>
      </c>
    </row>
    <row r="41" spans="3:11" x14ac:dyDescent="0.25">
      <c r="C41" s="205" t="s">
        <v>80</v>
      </c>
      <c r="D41" s="206"/>
      <c r="E41" s="207"/>
      <c r="F41" s="22">
        <f>SUM(F39:F40)</f>
        <v>456.16666666666663</v>
      </c>
      <c r="H41" s="205" t="s">
        <v>80</v>
      </c>
      <c r="I41" s="206"/>
      <c r="J41" s="207"/>
      <c r="K41" s="22">
        <f>SUM(K39:K40)</f>
        <v>456.16666666666663</v>
      </c>
    </row>
    <row r="42" spans="3:11" x14ac:dyDescent="0.25">
      <c r="C42" s="193"/>
      <c r="D42" s="194"/>
      <c r="E42" s="194"/>
      <c r="F42" s="195"/>
      <c r="H42" s="193"/>
      <c r="I42" s="194"/>
      <c r="J42" s="194"/>
      <c r="K42" s="195"/>
    </row>
    <row r="43" spans="3:11" x14ac:dyDescent="0.25">
      <c r="C43" s="22" t="s">
        <v>81</v>
      </c>
      <c r="D43" s="23" t="s">
        <v>82</v>
      </c>
      <c r="E43" s="22" t="s">
        <v>77</v>
      </c>
      <c r="F43" s="22" t="s">
        <v>65</v>
      </c>
      <c r="H43" s="22" t="s">
        <v>81</v>
      </c>
      <c r="I43" s="23" t="s">
        <v>82</v>
      </c>
      <c r="J43" s="22" t="s">
        <v>77</v>
      </c>
      <c r="K43" s="22" t="s">
        <v>65</v>
      </c>
    </row>
    <row r="44" spans="3:11" x14ac:dyDescent="0.25">
      <c r="C44" s="24" t="s">
        <v>66</v>
      </c>
      <c r="D44" s="25" t="s">
        <v>83</v>
      </c>
      <c r="E44" s="35">
        <f>2/10</f>
        <v>0.2</v>
      </c>
      <c r="F44" s="20">
        <f>E44*($F$28+$F$41)</f>
        <v>560.43333333333328</v>
      </c>
      <c r="H44" s="24" t="s">
        <v>66</v>
      </c>
      <c r="I44" s="25" t="s">
        <v>83</v>
      </c>
      <c r="J44" s="35">
        <v>0</v>
      </c>
      <c r="K44" s="20">
        <f>J44*($F$28+$F$41)</f>
        <v>0</v>
      </c>
    </row>
    <row r="45" spans="3:11" x14ac:dyDescent="0.25">
      <c r="C45" s="24" t="s">
        <v>39</v>
      </c>
      <c r="D45" s="25" t="s">
        <v>84</v>
      </c>
      <c r="E45" s="35">
        <f>2.5/100</f>
        <v>2.5000000000000001E-2</v>
      </c>
      <c r="F45" s="20">
        <f t="shared" ref="F45:F51" si="0">E45*($F$28+$F$41)</f>
        <v>70.05416666666666</v>
      </c>
      <c r="H45" s="24" t="s">
        <v>39</v>
      </c>
      <c r="I45" s="25" t="s">
        <v>84</v>
      </c>
      <c r="J45" s="35">
        <f>2.5/100</f>
        <v>2.5000000000000001E-2</v>
      </c>
      <c r="K45" s="20">
        <f t="shared" ref="K45:K51" si="1">J45*($F$28+$F$41)</f>
        <v>70.05416666666666</v>
      </c>
    </row>
    <row r="46" spans="3:11" x14ac:dyDescent="0.25">
      <c r="C46" s="24" t="s">
        <v>42</v>
      </c>
      <c r="D46" s="25" t="s">
        <v>85</v>
      </c>
      <c r="E46" s="35">
        <f>3/100</f>
        <v>0.03</v>
      </c>
      <c r="F46" s="20">
        <f t="shared" si="0"/>
        <v>84.064999999999998</v>
      </c>
      <c r="H46" s="24" t="s">
        <v>42</v>
      </c>
      <c r="I46" s="25" t="s">
        <v>85</v>
      </c>
      <c r="J46" s="35">
        <f>3/100</f>
        <v>0.03</v>
      </c>
      <c r="K46" s="20">
        <f t="shared" si="1"/>
        <v>84.064999999999998</v>
      </c>
    </row>
    <row r="47" spans="3:11" x14ac:dyDescent="0.25">
      <c r="C47" s="24" t="s">
        <v>44</v>
      </c>
      <c r="D47" s="25" t="s">
        <v>86</v>
      </c>
      <c r="E47" s="35">
        <f>1.5/100</f>
        <v>1.4999999999999999E-2</v>
      </c>
      <c r="F47" s="20">
        <f t="shared" si="0"/>
        <v>42.032499999999999</v>
      </c>
      <c r="H47" s="24" t="s">
        <v>44</v>
      </c>
      <c r="I47" s="25" t="s">
        <v>86</v>
      </c>
      <c r="J47" s="35">
        <f>1.5/100</f>
        <v>1.4999999999999999E-2</v>
      </c>
      <c r="K47" s="20">
        <f t="shared" si="1"/>
        <v>42.032499999999999</v>
      </c>
    </row>
    <row r="48" spans="3:11" x14ac:dyDescent="0.25">
      <c r="C48" s="24" t="s">
        <v>47</v>
      </c>
      <c r="D48" s="25" t="s">
        <v>87</v>
      </c>
      <c r="E48" s="35">
        <f>1/100</f>
        <v>0.01</v>
      </c>
      <c r="F48" s="20">
        <f t="shared" si="0"/>
        <v>28.021666666666665</v>
      </c>
      <c r="H48" s="24" t="s">
        <v>47</v>
      </c>
      <c r="I48" s="25" t="s">
        <v>87</v>
      </c>
      <c r="J48" s="35">
        <f>1/100</f>
        <v>0.01</v>
      </c>
      <c r="K48" s="20">
        <f t="shared" si="1"/>
        <v>28.021666666666665</v>
      </c>
    </row>
    <row r="49" spans="3:11" x14ac:dyDescent="0.25">
      <c r="C49" s="24" t="s">
        <v>50</v>
      </c>
      <c r="D49" s="25" t="s">
        <v>88</v>
      </c>
      <c r="E49" s="35">
        <f>0.6/100</f>
        <v>6.0000000000000001E-3</v>
      </c>
      <c r="F49" s="20">
        <f t="shared" si="0"/>
        <v>16.812999999999999</v>
      </c>
      <c r="H49" s="24" t="s">
        <v>50</v>
      </c>
      <c r="I49" s="25" t="s">
        <v>88</v>
      </c>
      <c r="J49" s="35">
        <f>0.6/100</f>
        <v>6.0000000000000001E-3</v>
      </c>
      <c r="K49" s="20">
        <f t="shared" si="1"/>
        <v>16.812999999999999</v>
      </c>
    </row>
    <row r="50" spans="3:11" x14ac:dyDescent="0.25">
      <c r="C50" s="24" t="s">
        <v>52</v>
      </c>
      <c r="D50" s="25" t="s">
        <v>89</v>
      </c>
      <c r="E50" s="35">
        <f>0.2/100</f>
        <v>2E-3</v>
      </c>
      <c r="F50" s="20">
        <f t="shared" si="0"/>
        <v>5.6043333333333329</v>
      </c>
      <c r="H50" s="24" t="s">
        <v>52</v>
      </c>
      <c r="I50" s="25" t="s">
        <v>89</v>
      </c>
      <c r="J50" s="35">
        <f>0.2/100</f>
        <v>2E-3</v>
      </c>
      <c r="K50" s="20">
        <f t="shared" si="1"/>
        <v>5.6043333333333329</v>
      </c>
    </row>
    <row r="51" spans="3:11" x14ac:dyDescent="0.25">
      <c r="C51" s="24" t="s">
        <v>90</v>
      </c>
      <c r="D51" s="25" t="s">
        <v>91</v>
      </c>
      <c r="E51" s="35">
        <f>8/100</f>
        <v>0.08</v>
      </c>
      <c r="F51" s="20">
        <f t="shared" si="0"/>
        <v>224.17333333333332</v>
      </c>
      <c r="H51" s="24" t="s">
        <v>90</v>
      </c>
      <c r="I51" s="25" t="s">
        <v>91</v>
      </c>
      <c r="J51" s="35">
        <f>8/100</f>
        <v>0.08</v>
      </c>
      <c r="K51" s="20">
        <f t="shared" si="1"/>
        <v>224.17333333333332</v>
      </c>
    </row>
    <row r="52" spans="3:11" x14ac:dyDescent="0.25">
      <c r="C52" s="202" t="s">
        <v>80</v>
      </c>
      <c r="D52" s="204"/>
      <c r="E52" s="36">
        <v>0.36800000000000005</v>
      </c>
      <c r="F52" s="22">
        <f>SUM(F44:F51)</f>
        <v>1031.1973333333333</v>
      </c>
      <c r="H52" s="202" t="s">
        <v>80</v>
      </c>
      <c r="I52" s="204"/>
      <c r="J52" s="36">
        <v>0.36800000000000005</v>
      </c>
      <c r="K52" s="22">
        <f>SUM(K44:K51)</f>
        <v>470.76400000000001</v>
      </c>
    </row>
    <row r="53" spans="3:11" x14ac:dyDescent="0.25">
      <c r="C53" s="193"/>
      <c r="D53" s="194"/>
      <c r="E53" s="194"/>
      <c r="F53" s="195"/>
      <c r="H53" s="193"/>
      <c r="I53" s="194"/>
      <c r="J53" s="194"/>
      <c r="K53" s="195"/>
    </row>
    <row r="54" spans="3:11" x14ac:dyDescent="0.25">
      <c r="C54" s="22" t="s">
        <v>92</v>
      </c>
      <c r="D54" s="23" t="s">
        <v>93</v>
      </c>
      <c r="E54" s="22" t="s">
        <v>94</v>
      </c>
      <c r="F54" s="22" t="s">
        <v>65</v>
      </c>
      <c r="H54" s="22" t="s">
        <v>92</v>
      </c>
      <c r="I54" s="23" t="s">
        <v>93</v>
      </c>
      <c r="J54" s="22" t="s">
        <v>94</v>
      </c>
      <c r="K54" s="22" t="s">
        <v>65</v>
      </c>
    </row>
    <row r="55" spans="3:11" x14ac:dyDescent="0.25">
      <c r="C55" s="24" t="s">
        <v>66</v>
      </c>
      <c r="D55" s="25" t="s">
        <v>95</v>
      </c>
      <c r="E55" s="37"/>
      <c r="F55" s="38">
        <v>0</v>
      </c>
      <c r="H55" s="24" t="s">
        <v>66</v>
      </c>
      <c r="I55" s="25" t="s">
        <v>95</v>
      </c>
      <c r="J55" s="37"/>
      <c r="K55" s="38">
        <v>0</v>
      </c>
    </row>
    <row r="56" spans="3:11" x14ac:dyDescent="0.25">
      <c r="C56" s="24" t="s">
        <v>39</v>
      </c>
      <c r="D56" s="25" t="s">
        <v>96</v>
      </c>
      <c r="E56" s="37"/>
      <c r="F56" s="38">
        <v>0</v>
      </c>
      <c r="H56" s="24" t="s">
        <v>39</v>
      </c>
      <c r="I56" s="25" t="s">
        <v>96</v>
      </c>
      <c r="J56" s="37"/>
      <c r="K56" s="38">
        <v>0</v>
      </c>
    </row>
    <row r="57" spans="3:11" x14ac:dyDescent="0.25">
      <c r="C57" s="24" t="s">
        <v>42</v>
      </c>
      <c r="D57" s="25" t="s">
        <v>159</v>
      </c>
      <c r="E57" s="37"/>
      <c r="F57" s="20">
        <v>0</v>
      </c>
      <c r="H57" s="24" t="s">
        <v>42</v>
      </c>
      <c r="I57" s="25" t="s">
        <v>159</v>
      </c>
      <c r="J57" s="37"/>
      <c r="K57" s="20">
        <v>0</v>
      </c>
    </row>
    <row r="58" spans="3:11" x14ac:dyDescent="0.25">
      <c r="C58" s="24" t="s">
        <v>44</v>
      </c>
      <c r="D58" s="7" t="s">
        <v>160</v>
      </c>
      <c r="E58" s="37"/>
      <c r="F58" s="20">
        <v>0</v>
      </c>
      <c r="H58" s="24" t="s">
        <v>44</v>
      </c>
      <c r="I58" s="7" t="s">
        <v>160</v>
      </c>
      <c r="J58" s="37"/>
      <c r="K58" s="20">
        <v>0</v>
      </c>
    </row>
    <row r="59" spans="3:11" x14ac:dyDescent="0.25">
      <c r="C59" s="24" t="s">
        <v>47</v>
      </c>
      <c r="D59" s="25" t="s">
        <v>97</v>
      </c>
      <c r="E59" s="37"/>
      <c r="F59" s="20">
        <v>0</v>
      </c>
      <c r="H59" s="24" t="s">
        <v>47</v>
      </c>
      <c r="I59" s="25" t="s">
        <v>97</v>
      </c>
      <c r="J59" s="37"/>
      <c r="K59" s="20">
        <v>0</v>
      </c>
    </row>
    <row r="60" spans="3:11" x14ac:dyDescent="0.25">
      <c r="C60" s="202" t="s">
        <v>98</v>
      </c>
      <c r="D60" s="203"/>
      <c r="E60" s="204"/>
      <c r="F60" s="22"/>
      <c r="H60" s="202" t="s">
        <v>98</v>
      </c>
      <c r="I60" s="203"/>
      <c r="J60" s="204"/>
      <c r="K60" s="22"/>
    </row>
    <row r="61" spans="3:11" x14ac:dyDescent="0.25">
      <c r="C61" s="193"/>
      <c r="D61" s="194"/>
      <c r="E61" s="194"/>
      <c r="F61" s="195"/>
      <c r="H61" s="193"/>
      <c r="I61" s="194"/>
      <c r="J61" s="194"/>
      <c r="K61" s="195"/>
    </row>
    <row r="62" spans="3:11" x14ac:dyDescent="0.25">
      <c r="C62" s="202" t="s">
        <v>99</v>
      </c>
      <c r="D62" s="203"/>
      <c r="E62" s="204"/>
      <c r="F62" s="22" t="s">
        <v>65</v>
      </c>
      <c r="H62" s="202" t="s">
        <v>99</v>
      </c>
      <c r="I62" s="203"/>
      <c r="J62" s="204"/>
      <c r="K62" s="22" t="s">
        <v>65</v>
      </c>
    </row>
    <row r="63" spans="3:11" x14ac:dyDescent="0.25">
      <c r="C63" s="24" t="s">
        <v>100</v>
      </c>
      <c r="D63" s="208" t="s">
        <v>76</v>
      </c>
      <c r="E63" s="209"/>
      <c r="F63" s="20">
        <f>F41</f>
        <v>456.16666666666663</v>
      </c>
      <c r="H63" s="24" t="s">
        <v>100</v>
      </c>
      <c r="I63" s="208" t="s">
        <v>76</v>
      </c>
      <c r="J63" s="209"/>
      <c r="K63" s="20">
        <f>K41</f>
        <v>456.16666666666663</v>
      </c>
    </row>
    <row r="64" spans="3:11" x14ac:dyDescent="0.25">
      <c r="C64" s="24" t="s">
        <v>81</v>
      </c>
      <c r="D64" s="208" t="s">
        <v>82</v>
      </c>
      <c r="E64" s="209"/>
      <c r="F64" s="20">
        <f>F52</f>
        <v>1031.1973333333333</v>
      </c>
      <c r="H64" s="24" t="s">
        <v>81</v>
      </c>
      <c r="I64" s="208" t="s">
        <v>82</v>
      </c>
      <c r="J64" s="209"/>
      <c r="K64" s="20">
        <f>K52</f>
        <v>470.76400000000001</v>
      </c>
    </row>
    <row r="65" spans="2:11" x14ac:dyDescent="0.25">
      <c r="C65" s="24" t="s">
        <v>101</v>
      </c>
      <c r="D65" s="208" t="s">
        <v>93</v>
      </c>
      <c r="E65" s="209"/>
      <c r="F65" s="20">
        <v>0</v>
      </c>
      <c r="H65" s="24" t="s">
        <v>101</v>
      </c>
      <c r="I65" s="208" t="s">
        <v>93</v>
      </c>
      <c r="J65" s="209"/>
      <c r="K65" s="20">
        <v>0</v>
      </c>
    </row>
    <row r="66" spans="2:11" x14ac:dyDescent="0.25">
      <c r="C66" s="202" t="s">
        <v>80</v>
      </c>
      <c r="D66" s="203"/>
      <c r="E66" s="204"/>
      <c r="F66" s="22">
        <f>SUM(F63:F65)</f>
        <v>1487.364</v>
      </c>
      <c r="H66" s="202" t="s">
        <v>80</v>
      </c>
      <c r="I66" s="203"/>
      <c r="J66" s="204"/>
      <c r="K66" s="22">
        <f>SUM(K63:K65)</f>
        <v>926.93066666666664</v>
      </c>
    </row>
    <row r="67" spans="2:11" x14ac:dyDescent="0.25">
      <c r="C67" s="193"/>
      <c r="D67" s="194"/>
      <c r="E67" s="194"/>
      <c r="F67" s="195"/>
      <c r="H67" s="193"/>
      <c r="I67" s="194"/>
      <c r="J67" s="194"/>
      <c r="K67" s="195"/>
    </row>
    <row r="68" spans="2:11" x14ac:dyDescent="0.25">
      <c r="C68" s="190" t="s">
        <v>102</v>
      </c>
      <c r="D68" s="191"/>
      <c r="E68" s="191"/>
      <c r="F68" s="192"/>
      <c r="H68" s="190" t="s">
        <v>102</v>
      </c>
      <c r="I68" s="191"/>
      <c r="J68" s="191"/>
      <c r="K68" s="192"/>
    </row>
    <row r="69" spans="2:11" x14ac:dyDescent="0.25">
      <c r="C69" s="193"/>
      <c r="D69" s="194"/>
      <c r="E69" s="194"/>
      <c r="F69" s="195"/>
      <c r="H69" s="193"/>
      <c r="I69" s="194"/>
      <c r="J69" s="194"/>
      <c r="K69" s="195"/>
    </row>
    <row r="70" spans="2:11" x14ac:dyDescent="0.25">
      <c r="C70" s="12">
        <v>3</v>
      </c>
      <c r="D70" s="23" t="s">
        <v>103</v>
      </c>
      <c r="E70" s="22" t="s">
        <v>77</v>
      </c>
      <c r="F70" s="22" t="s">
        <v>65</v>
      </c>
      <c r="H70" s="12">
        <v>3</v>
      </c>
      <c r="I70" s="23" t="s">
        <v>103</v>
      </c>
      <c r="J70" s="22" t="s">
        <v>77</v>
      </c>
      <c r="K70" s="22" t="s">
        <v>65</v>
      </c>
    </row>
    <row r="71" spans="2:11" x14ac:dyDescent="0.25">
      <c r="B71" s="129" t="s">
        <v>201</v>
      </c>
      <c r="C71" s="24" t="s">
        <v>66</v>
      </c>
      <c r="D71" s="25" t="s">
        <v>104</v>
      </c>
      <c r="E71" s="35">
        <f>0.42/100</f>
        <v>4.1999999999999997E-3</v>
      </c>
      <c r="F71" s="20">
        <f>E71*F34</f>
        <v>9.8531999999999993</v>
      </c>
      <c r="H71" s="24" t="s">
        <v>66</v>
      </c>
      <c r="I71" s="25" t="s">
        <v>104</v>
      </c>
      <c r="J71" s="35">
        <f>0.42/100</f>
        <v>4.1999999999999997E-3</v>
      </c>
      <c r="K71" s="20">
        <f>J71*K34</f>
        <v>9.8531999999999993</v>
      </c>
    </row>
    <row r="72" spans="2:11" x14ac:dyDescent="0.25">
      <c r="B72" s="129" t="s">
        <v>1085</v>
      </c>
      <c r="C72" s="24" t="s">
        <v>39</v>
      </c>
      <c r="D72" s="25" t="s">
        <v>105</v>
      </c>
      <c r="E72" s="35">
        <f>8/100*E71</f>
        <v>3.3599999999999998E-4</v>
      </c>
      <c r="F72" s="20">
        <f>E72*F34</f>
        <v>0.78825599999999996</v>
      </c>
      <c r="H72" s="24" t="s">
        <v>39</v>
      </c>
      <c r="I72" s="25" t="s">
        <v>105</v>
      </c>
      <c r="J72" s="35">
        <f>8/100*J71</f>
        <v>3.3599999999999998E-4</v>
      </c>
      <c r="K72" s="20">
        <f>J72*K34</f>
        <v>0.78825599999999996</v>
      </c>
    </row>
    <row r="73" spans="2:11" x14ac:dyDescent="0.25">
      <c r="B73" s="129" t="s">
        <v>202</v>
      </c>
      <c r="C73" s="24" t="s">
        <v>42</v>
      </c>
      <c r="D73" s="25" t="s">
        <v>106</v>
      </c>
      <c r="E73" s="35">
        <f>0.4*0.08*0.05</f>
        <v>1.6000000000000001E-3</v>
      </c>
      <c r="F73" s="20">
        <f>F34*E73</f>
        <v>3.7536</v>
      </c>
      <c r="H73" s="24" t="s">
        <v>42</v>
      </c>
      <c r="I73" s="25" t="s">
        <v>106</v>
      </c>
      <c r="J73" s="35">
        <f>0.4*0.08*0.05</f>
        <v>1.6000000000000001E-3</v>
      </c>
      <c r="K73" s="20">
        <f>K34*J73</f>
        <v>3.7536</v>
      </c>
    </row>
    <row r="74" spans="2:11" x14ac:dyDescent="0.25">
      <c r="B74" s="129" t="s">
        <v>203</v>
      </c>
      <c r="C74" s="24" t="s">
        <v>44</v>
      </c>
      <c r="D74" s="25" t="s">
        <v>107</v>
      </c>
      <c r="E74" s="35">
        <f>((7/30)/12)</f>
        <v>1.9444444444444445E-2</v>
      </c>
      <c r="F74" s="20">
        <f>E74*F34</f>
        <v>45.616666666666667</v>
      </c>
      <c r="H74" s="24" t="s">
        <v>44</v>
      </c>
      <c r="I74" s="25" t="s">
        <v>107</v>
      </c>
      <c r="J74" s="35">
        <f>((7/30)/12)</f>
        <v>1.9444444444444445E-2</v>
      </c>
      <c r="K74" s="20">
        <f>J74*K34</f>
        <v>45.616666666666667</v>
      </c>
    </row>
    <row r="75" spans="2:11" ht="25.5" x14ac:dyDescent="0.25">
      <c r="B75" s="129" t="s">
        <v>1086</v>
      </c>
      <c r="C75" s="24" t="s">
        <v>47</v>
      </c>
      <c r="D75" s="25" t="s">
        <v>108</v>
      </c>
      <c r="E75" s="35">
        <f>E74*E52</f>
        <v>7.1555555555555565E-3</v>
      </c>
      <c r="F75" s="20">
        <f>F34*E75</f>
        <v>16.786933333333337</v>
      </c>
      <c r="H75" s="24" t="s">
        <v>47</v>
      </c>
      <c r="I75" s="25" t="s">
        <v>108</v>
      </c>
      <c r="J75" s="35">
        <f>J74*J52</f>
        <v>7.1555555555555565E-3</v>
      </c>
      <c r="K75" s="20">
        <f>K34*J75</f>
        <v>16.786933333333337</v>
      </c>
    </row>
    <row r="76" spans="2:11" x14ac:dyDescent="0.25">
      <c r="B76" s="129" t="s">
        <v>204</v>
      </c>
      <c r="C76" s="24" t="s">
        <v>50</v>
      </c>
      <c r="D76" s="25" t="s">
        <v>109</v>
      </c>
      <c r="E76" s="35">
        <f>0.4*0.08*0.95</f>
        <v>3.04E-2</v>
      </c>
      <c r="F76" s="20">
        <f>F34*E76</f>
        <v>71.318399999999997</v>
      </c>
      <c r="H76" s="24" t="s">
        <v>50</v>
      </c>
      <c r="I76" s="25" t="s">
        <v>109</v>
      </c>
      <c r="J76" s="35">
        <f>0.4*0.08*0.95</f>
        <v>3.04E-2</v>
      </c>
      <c r="K76" s="20">
        <f>K34*J76</f>
        <v>71.318399999999997</v>
      </c>
    </row>
    <row r="77" spans="2:11" x14ac:dyDescent="0.25">
      <c r="C77" s="202" t="s">
        <v>110</v>
      </c>
      <c r="D77" s="203"/>
      <c r="E77" s="204"/>
      <c r="F77" s="22">
        <f>SUM(F71:F76)</f>
        <v>148.11705599999999</v>
      </c>
      <c r="H77" s="202" t="s">
        <v>110</v>
      </c>
      <c r="I77" s="203"/>
      <c r="J77" s="204"/>
      <c r="K77" s="22">
        <f>SUM(K71:K76)</f>
        <v>148.11705599999999</v>
      </c>
    </row>
    <row r="78" spans="2:11" x14ac:dyDescent="0.25">
      <c r="C78" s="193"/>
      <c r="D78" s="194"/>
      <c r="E78" s="194"/>
      <c r="F78" s="195"/>
      <c r="H78" s="193"/>
      <c r="I78" s="194"/>
      <c r="J78" s="194"/>
      <c r="K78" s="195"/>
    </row>
    <row r="79" spans="2:11" x14ac:dyDescent="0.25">
      <c r="C79" s="190" t="s">
        <v>111</v>
      </c>
      <c r="D79" s="191"/>
      <c r="E79" s="191"/>
      <c r="F79" s="192"/>
      <c r="H79" s="190" t="s">
        <v>111</v>
      </c>
      <c r="I79" s="191"/>
      <c r="J79" s="191"/>
      <c r="K79" s="192"/>
    </row>
    <row r="80" spans="2:11" x14ac:dyDescent="0.25">
      <c r="C80" s="210"/>
      <c r="D80" s="211"/>
      <c r="E80" s="211"/>
      <c r="F80" s="212"/>
      <c r="H80" s="210"/>
      <c r="I80" s="211"/>
      <c r="J80" s="211"/>
      <c r="K80" s="212"/>
    </row>
    <row r="81" spans="3:11" x14ac:dyDescent="0.25">
      <c r="C81" s="22" t="s">
        <v>112</v>
      </c>
      <c r="D81" s="23" t="s">
        <v>113</v>
      </c>
      <c r="E81" s="26" t="s">
        <v>77</v>
      </c>
      <c r="F81" s="22" t="s">
        <v>65</v>
      </c>
      <c r="H81" s="22" t="s">
        <v>112</v>
      </c>
      <c r="I81" s="23" t="s">
        <v>113</v>
      </c>
      <c r="J81" s="26" t="s">
        <v>77</v>
      </c>
      <c r="K81" s="22" t="s">
        <v>65</v>
      </c>
    </row>
    <row r="82" spans="3:11" x14ac:dyDescent="0.25">
      <c r="C82" s="24" t="s">
        <v>66</v>
      </c>
      <c r="D82" s="25" t="s">
        <v>114</v>
      </c>
      <c r="E82" s="35">
        <f>(((1+1/3)/12)/12)</f>
        <v>9.2592592592592587E-3</v>
      </c>
      <c r="F82" s="20">
        <f>($F$77+$F$66+$F$34)*E82</f>
        <v>36.865565333333329</v>
      </c>
      <c r="H82" s="24" t="s">
        <v>66</v>
      </c>
      <c r="I82" s="25" t="s">
        <v>114</v>
      </c>
      <c r="J82" s="35">
        <f>(((1+1/3)/12)/12)</f>
        <v>9.2592592592592587E-3</v>
      </c>
      <c r="K82" s="20">
        <f>($F$77+$F$66+$F$34)*J82</f>
        <v>36.865565333333329</v>
      </c>
    </row>
    <row r="83" spans="3:11" x14ac:dyDescent="0.25">
      <c r="C83" s="24" t="s">
        <v>39</v>
      </c>
      <c r="D83" s="25" t="s">
        <v>115</v>
      </c>
      <c r="E83" s="35">
        <f>((2/30)/12)</f>
        <v>5.5555555555555558E-3</v>
      </c>
      <c r="F83" s="20">
        <f t="shared" ref="F83:F87" si="2">($F$77+$F$66+$F$34)*E83</f>
        <v>22.119339200000002</v>
      </c>
      <c r="H83" s="24" t="s">
        <v>39</v>
      </c>
      <c r="I83" s="25" t="s">
        <v>115</v>
      </c>
      <c r="J83" s="35">
        <f>((2/30)/12)</f>
        <v>5.5555555555555558E-3</v>
      </c>
      <c r="K83" s="20">
        <f t="shared" ref="K83:K87" si="3">($F$77+$F$66+$F$34)*J83</f>
        <v>22.119339200000002</v>
      </c>
    </row>
    <row r="84" spans="3:11" x14ac:dyDescent="0.25">
      <c r="C84" s="24" t="s">
        <v>42</v>
      </c>
      <c r="D84" s="25" t="s">
        <v>116</v>
      </c>
      <c r="E84" s="52">
        <f>((5/30)/12)*0.015</f>
        <v>2.0833333333333332E-4</v>
      </c>
      <c r="F84" s="20">
        <f t="shared" si="2"/>
        <v>0.82947521999999996</v>
      </c>
      <c r="H84" s="24" t="s">
        <v>42</v>
      </c>
      <c r="I84" s="25" t="s">
        <v>116</v>
      </c>
      <c r="J84" s="52">
        <f>((5/30)/12)*0.015</f>
        <v>2.0833333333333332E-4</v>
      </c>
      <c r="K84" s="20">
        <f t="shared" si="3"/>
        <v>0.82947521999999996</v>
      </c>
    </row>
    <row r="85" spans="3:11" x14ac:dyDescent="0.25">
      <c r="C85" s="24" t="s">
        <v>44</v>
      </c>
      <c r="D85" s="25" t="s">
        <v>117</v>
      </c>
      <c r="E85" s="35">
        <f>(((15/30)/12)*0.08)</f>
        <v>3.3333333333333331E-3</v>
      </c>
      <c r="F85" s="20">
        <f t="shared" si="2"/>
        <v>13.271603519999999</v>
      </c>
      <c r="H85" s="24" t="s">
        <v>44</v>
      </c>
      <c r="I85" s="25" t="s">
        <v>117</v>
      </c>
      <c r="J85" s="35">
        <f>(((15/30)/12)*0.08)</f>
        <v>3.3333333333333331E-3</v>
      </c>
      <c r="K85" s="20">
        <f t="shared" si="3"/>
        <v>13.271603519999999</v>
      </c>
    </row>
    <row r="86" spans="3:11" x14ac:dyDescent="0.25">
      <c r="C86" s="24" t="s">
        <v>47</v>
      </c>
      <c r="D86" s="25" t="s">
        <v>118</v>
      </c>
      <c r="E86" s="52">
        <f>0.0144*0.1*0.4509*6/12</f>
        <v>3.2464800000000003E-4</v>
      </c>
      <c r="F86" s="20">
        <f t="shared" si="2"/>
        <v>1.2925798618682882</v>
      </c>
      <c r="H86" s="24" t="s">
        <v>47</v>
      </c>
      <c r="I86" s="25" t="s">
        <v>118</v>
      </c>
      <c r="J86" s="52">
        <f>0.0144*0.1*0.4509*6/12</f>
        <v>3.2464800000000003E-4</v>
      </c>
      <c r="K86" s="20">
        <f t="shared" si="3"/>
        <v>1.2925798618682882</v>
      </c>
    </row>
    <row r="87" spans="3:11" x14ac:dyDescent="0.25">
      <c r="C87" s="24" t="s">
        <v>50</v>
      </c>
      <c r="D87" s="25" t="s">
        <v>119</v>
      </c>
      <c r="E87" s="35">
        <v>0</v>
      </c>
      <c r="F87" s="20">
        <f t="shared" si="2"/>
        <v>0</v>
      </c>
      <c r="H87" s="24" t="s">
        <v>50</v>
      </c>
      <c r="I87" s="25" t="s">
        <v>119</v>
      </c>
      <c r="J87" s="35">
        <v>0</v>
      </c>
      <c r="K87" s="20">
        <f t="shared" si="3"/>
        <v>0</v>
      </c>
    </row>
    <row r="88" spans="3:11" x14ac:dyDescent="0.25">
      <c r="C88" s="202" t="s">
        <v>80</v>
      </c>
      <c r="D88" s="203"/>
      <c r="E88" s="204"/>
      <c r="F88" s="22">
        <f>SUM(F82:F87)</f>
        <v>74.378563135201631</v>
      </c>
      <c r="H88" s="202" t="s">
        <v>80</v>
      </c>
      <c r="I88" s="203"/>
      <c r="J88" s="204"/>
      <c r="K88" s="22">
        <f>SUM(K82:K87)</f>
        <v>74.378563135201631</v>
      </c>
    </row>
    <row r="89" spans="3:11" x14ac:dyDescent="0.25">
      <c r="C89" s="193"/>
      <c r="D89" s="194"/>
      <c r="E89" s="194"/>
      <c r="F89" s="195"/>
      <c r="H89" s="193"/>
      <c r="I89" s="194"/>
      <c r="J89" s="194"/>
      <c r="K89" s="195"/>
    </row>
    <row r="90" spans="3:11" x14ac:dyDescent="0.25">
      <c r="C90" s="27" t="s">
        <v>120</v>
      </c>
      <c r="D90" s="27" t="s">
        <v>121</v>
      </c>
      <c r="E90" s="26" t="s">
        <v>77</v>
      </c>
      <c r="F90" s="22" t="s">
        <v>65</v>
      </c>
      <c r="H90" s="27" t="s">
        <v>120</v>
      </c>
      <c r="I90" s="27" t="s">
        <v>121</v>
      </c>
      <c r="J90" s="26" t="s">
        <v>77</v>
      </c>
      <c r="K90" s="22" t="s">
        <v>65</v>
      </c>
    </row>
    <row r="91" spans="3:11" x14ac:dyDescent="0.25">
      <c r="C91" s="20" t="s">
        <v>66</v>
      </c>
      <c r="D91" s="21" t="s">
        <v>122</v>
      </c>
      <c r="E91" s="28">
        <v>0</v>
      </c>
      <c r="F91" s="20">
        <v>0</v>
      </c>
      <c r="H91" s="20" t="s">
        <v>66</v>
      </c>
      <c r="I91" s="21" t="s">
        <v>122</v>
      </c>
      <c r="J91" s="28">
        <v>0</v>
      </c>
      <c r="K91" s="20">
        <v>0</v>
      </c>
    </row>
    <row r="92" spans="3:11" x14ac:dyDescent="0.25">
      <c r="C92" s="202" t="s">
        <v>80</v>
      </c>
      <c r="D92" s="204"/>
      <c r="E92" s="39">
        <v>0</v>
      </c>
      <c r="F92" s="22">
        <v>0</v>
      </c>
      <c r="H92" s="202" t="s">
        <v>80</v>
      </c>
      <c r="I92" s="204"/>
      <c r="J92" s="39">
        <v>0</v>
      </c>
      <c r="K92" s="22">
        <v>0</v>
      </c>
    </row>
    <row r="93" spans="3:11" x14ac:dyDescent="0.25">
      <c r="C93" s="193"/>
      <c r="D93" s="194"/>
      <c r="E93" s="194"/>
      <c r="F93" s="195"/>
      <c r="H93" s="193"/>
      <c r="I93" s="194"/>
      <c r="J93" s="194"/>
      <c r="K93" s="195"/>
    </row>
    <row r="94" spans="3:11" x14ac:dyDescent="0.25">
      <c r="C94" s="202" t="s">
        <v>123</v>
      </c>
      <c r="D94" s="203"/>
      <c r="E94" s="204"/>
      <c r="F94" s="22" t="s">
        <v>65</v>
      </c>
      <c r="H94" s="202" t="s">
        <v>123</v>
      </c>
      <c r="I94" s="203"/>
      <c r="J94" s="204"/>
      <c r="K94" s="22" t="s">
        <v>65</v>
      </c>
    </row>
    <row r="95" spans="3:11" x14ac:dyDescent="0.25">
      <c r="C95" s="20" t="s">
        <v>112</v>
      </c>
      <c r="D95" s="213" t="s">
        <v>113</v>
      </c>
      <c r="E95" s="214"/>
      <c r="F95" s="20">
        <f>F88</f>
        <v>74.378563135201631</v>
      </c>
      <c r="H95" s="20" t="s">
        <v>112</v>
      </c>
      <c r="I95" s="213" t="s">
        <v>113</v>
      </c>
      <c r="J95" s="214"/>
      <c r="K95" s="20">
        <f>K88</f>
        <v>74.378563135201631</v>
      </c>
    </row>
    <row r="96" spans="3:11" x14ac:dyDescent="0.25">
      <c r="C96" s="20" t="s">
        <v>120</v>
      </c>
      <c r="D96" s="213" t="s">
        <v>121</v>
      </c>
      <c r="E96" s="214"/>
      <c r="F96" s="20">
        <v>0</v>
      </c>
      <c r="H96" s="20" t="s">
        <v>120</v>
      </c>
      <c r="I96" s="213" t="s">
        <v>121</v>
      </c>
      <c r="J96" s="214"/>
      <c r="K96" s="20">
        <v>0</v>
      </c>
    </row>
    <row r="97" spans="3:11" x14ac:dyDescent="0.25">
      <c r="C97" s="202" t="s">
        <v>124</v>
      </c>
      <c r="D97" s="203"/>
      <c r="E97" s="204"/>
      <c r="F97" s="22">
        <f>SUM(F95:F96)</f>
        <v>74.378563135201631</v>
      </c>
      <c r="H97" s="202" t="s">
        <v>124</v>
      </c>
      <c r="I97" s="203"/>
      <c r="J97" s="204"/>
      <c r="K97" s="22">
        <f>SUM(K95:K96)</f>
        <v>74.378563135201631</v>
      </c>
    </row>
    <row r="98" spans="3:11" x14ac:dyDescent="0.25">
      <c r="C98" s="193"/>
      <c r="D98" s="194"/>
      <c r="E98" s="194"/>
      <c r="F98" s="195"/>
      <c r="H98" s="193"/>
      <c r="I98" s="194"/>
      <c r="J98" s="194"/>
      <c r="K98" s="195"/>
    </row>
    <row r="99" spans="3:11" x14ac:dyDescent="0.25">
      <c r="C99" s="190" t="s">
        <v>125</v>
      </c>
      <c r="D99" s="191"/>
      <c r="E99" s="191"/>
      <c r="F99" s="192"/>
      <c r="H99" s="190" t="s">
        <v>125</v>
      </c>
      <c r="I99" s="191"/>
      <c r="J99" s="191"/>
      <c r="K99" s="192"/>
    </row>
    <row r="100" spans="3:11" x14ac:dyDescent="0.25">
      <c r="C100" s="210"/>
      <c r="D100" s="211"/>
      <c r="E100" s="211"/>
      <c r="F100" s="212"/>
      <c r="H100" s="210"/>
      <c r="I100" s="211"/>
      <c r="J100" s="211"/>
      <c r="K100" s="212"/>
    </row>
    <row r="101" spans="3:11" x14ac:dyDescent="0.25">
      <c r="C101" s="12">
        <v>5</v>
      </c>
      <c r="D101" s="202" t="s">
        <v>126</v>
      </c>
      <c r="E101" s="204"/>
      <c r="F101" s="22" t="s">
        <v>65</v>
      </c>
      <c r="H101" s="12">
        <v>5</v>
      </c>
      <c r="I101" s="202" t="s">
        <v>126</v>
      </c>
      <c r="J101" s="204"/>
      <c r="K101" s="22" t="s">
        <v>65</v>
      </c>
    </row>
    <row r="102" spans="3:11" x14ac:dyDescent="0.25">
      <c r="C102" s="24" t="s">
        <v>66</v>
      </c>
      <c r="D102" s="216" t="s">
        <v>127</v>
      </c>
      <c r="E102" s="217"/>
      <c r="F102" s="20">
        <f>UNIFORMES!E9</f>
        <v>75.355555555555569</v>
      </c>
      <c r="H102" s="24" t="s">
        <v>66</v>
      </c>
      <c r="I102" s="216" t="s">
        <v>127</v>
      </c>
      <c r="J102" s="217"/>
      <c r="K102" s="20">
        <f>UNIFORMES!J9</f>
        <v>0</v>
      </c>
    </row>
    <row r="103" spans="3:11" x14ac:dyDescent="0.25">
      <c r="C103" s="24" t="s">
        <v>39</v>
      </c>
      <c r="D103" s="29" t="s">
        <v>128</v>
      </c>
      <c r="E103" s="30"/>
      <c r="F103" s="20">
        <v>0</v>
      </c>
      <c r="H103" s="24" t="s">
        <v>39</v>
      </c>
      <c r="I103" s="29" t="s">
        <v>128</v>
      </c>
      <c r="J103" s="30"/>
      <c r="K103" s="20">
        <v>0</v>
      </c>
    </row>
    <row r="104" spans="3:11" x14ac:dyDescent="0.25">
      <c r="C104" s="24" t="s">
        <v>42</v>
      </c>
      <c r="D104" s="216" t="s">
        <v>129</v>
      </c>
      <c r="E104" s="217"/>
      <c r="F104" s="20">
        <v>0</v>
      </c>
      <c r="H104" s="24" t="s">
        <v>42</v>
      </c>
      <c r="I104" s="216" t="s">
        <v>129</v>
      </c>
      <c r="J104" s="217"/>
      <c r="K104" s="20">
        <v>0</v>
      </c>
    </row>
    <row r="105" spans="3:11" x14ac:dyDescent="0.25">
      <c r="C105" s="24" t="s">
        <v>44</v>
      </c>
      <c r="D105" s="216" t="s">
        <v>130</v>
      </c>
      <c r="E105" s="217"/>
      <c r="F105" s="20">
        <v>0</v>
      </c>
      <c r="H105" s="24" t="s">
        <v>44</v>
      </c>
      <c r="I105" s="216" t="s">
        <v>130</v>
      </c>
      <c r="J105" s="217"/>
      <c r="K105" s="20">
        <v>0</v>
      </c>
    </row>
    <row r="106" spans="3:11" x14ac:dyDescent="0.25">
      <c r="C106" s="202" t="s">
        <v>131</v>
      </c>
      <c r="D106" s="203"/>
      <c r="E106" s="204"/>
      <c r="F106" s="22">
        <f>SUM(F102:F105)</f>
        <v>75.355555555555569</v>
      </c>
      <c r="H106" s="202" t="s">
        <v>131</v>
      </c>
      <c r="I106" s="203"/>
      <c r="J106" s="204"/>
      <c r="K106" s="22">
        <f>SUM(K102:K105)</f>
        <v>0</v>
      </c>
    </row>
    <row r="107" spans="3:11" x14ac:dyDescent="0.25">
      <c r="C107" s="193"/>
      <c r="D107" s="194"/>
      <c r="E107" s="194"/>
      <c r="F107" s="195"/>
      <c r="H107" s="193"/>
      <c r="I107" s="194"/>
      <c r="J107" s="194"/>
      <c r="K107" s="195"/>
    </row>
    <row r="108" spans="3:11" x14ac:dyDescent="0.25">
      <c r="C108" s="215" t="s">
        <v>132</v>
      </c>
      <c r="D108" s="215"/>
      <c r="E108" s="215"/>
      <c r="F108" s="41">
        <f>F106+F97+F77+F34+F66</f>
        <v>4131.2151746907566</v>
      </c>
      <c r="H108" s="280" t="s">
        <v>132</v>
      </c>
      <c r="I108" s="281"/>
      <c r="J108" s="282"/>
      <c r="K108" s="41">
        <f>K106+K97+K77+K34+K66</f>
        <v>3495.4262858018683</v>
      </c>
    </row>
    <row r="109" spans="3:11" x14ac:dyDescent="0.25">
      <c r="C109" s="189"/>
      <c r="D109" s="189"/>
      <c r="E109" s="189"/>
      <c r="F109" s="189"/>
      <c r="H109" s="193"/>
      <c r="I109" s="194"/>
      <c r="J109" s="194"/>
      <c r="K109" s="195"/>
    </row>
    <row r="110" spans="3:11" x14ac:dyDescent="0.25">
      <c r="C110" s="228" t="s">
        <v>133</v>
      </c>
      <c r="D110" s="228"/>
      <c r="E110" s="228"/>
      <c r="F110" s="228"/>
      <c r="H110" s="190" t="s">
        <v>133</v>
      </c>
      <c r="I110" s="191"/>
      <c r="J110" s="191"/>
      <c r="K110" s="192"/>
    </row>
    <row r="111" spans="3:11" x14ac:dyDescent="0.25">
      <c r="C111" s="193"/>
      <c r="D111" s="194"/>
      <c r="E111" s="194"/>
      <c r="F111" s="195"/>
      <c r="H111" s="193"/>
      <c r="I111" s="194"/>
      <c r="J111" s="194"/>
      <c r="K111" s="195"/>
    </row>
    <row r="112" spans="3:11" x14ac:dyDescent="0.25">
      <c r="C112" s="12">
        <v>6</v>
      </c>
      <c r="D112" s="40" t="s">
        <v>134</v>
      </c>
      <c r="E112" s="22" t="s">
        <v>77</v>
      </c>
      <c r="F112" s="22" t="s">
        <v>65</v>
      </c>
      <c r="H112" s="12">
        <v>6</v>
      </c>
      <c r="I112" s="40" t="s">
        <v>134</v>
      </c>
      <c r="J112" s="22" t="s">
        <v>77</v>
      </c>
      <c r="K112" s="22" t="s">
        <v>65</v>
      </c>
    </row>
    <row r="113" spans="3:11" x14ac:dyDescent="0.25">
      <c r="C113" s="24" t="s">
        <v>66</v>
      </c>
      <c r="D113" s="25" t="s">
        <v>135</v>
      </c>
      <c r="E113" s="35">
        <f>6.06/100</f>
        <v>6.0599999999999994E-2</v>
      </c>
      <c r="F113" s="20">
        <f>E113*F108</f>
        <v>250.35163958625984</v>
      </c>
      <c r="H113" s="24" t="s">
        <v>66</v>
      </c>
      <c r="I113" s="25" t="s">
        <v>135</v>
      </c>
      <c r="J113" s="35">
        <f>6.06/100</f>
        <v>6.0599999999999994E-2</v>
      </c>
      <c r="K113" s="20">
        <f>J113*K108</f>
        <v>211.8228329195932</v>
      </c>
    </row>
    <row r="114" spans="3:11" x14ac:dyDescent="0.25">
      <c r="C114" s="24" t="s">
        <v>39</v>
      </c>
      <c r="D114" s="25" t="s">
        <v>136</v>
      </c>
      <c r="E114" s="35">
        <f>7.4/100</f>
        <v>7.400000000000001E-2</v>
      </c>
      <c r="F114" s="20">
        <f>E114*(F108+F113)</f>
        <v>324.23594425649924</v>
      </c>
      <c r="H114" s="24" t="s">
        <v>39</v>
      </c>
      <c r="I114" s="25" t="s">
        <v>136</v>
      </c>
      <c r="J114" s="35">
        <f>7.4/100</f>
        <v>7.400000000000001E-2</v>
      </c>
      <c r="K114" s="20">
        <f>J114*(K108+K113)</f>
        <v>274.33643478538818</v>
      </c>
    </row>
    <row r="115" spans="3:11" x14ac:dyDescent="0.25">
      <c r="C115" s="24" t="s">
        <v>42</v>
      </c>
      <c r="D115" s="208" t="s">
        <v>137</v>
      </c>
      <c r="E115" s="218"/>
      <c r="F115" s="209"/>
      <c r="H115" s="24" t="s">
        <v>42</v>
      </c>
      <c r="I115" s="208" t="s">
        <v>137</v>
      </c>
      <c r="J115" s="218"/>
      <c r="K115" s="209"/>
    </row>
    <row r="116" spans="3:11" x14ac:dyDescent="0.25">
      <c r="C116" s="24" t="s">
        <v>138</v>
      </c>
      <c r="D116" s="7" t="s">
        <v>205</v>
      </c>
      <c r="E116" s="219">
        <v>8.6499999999999994E-2</v>
      </c>
      <c r="F116" s="222">
        <f>((F113+F108+F114)/(1-E116))-(F108+F113+F114)</f>
        <v>445.59599191368306</v>
      </c>
      <c r="H116" s="24" t="s">
        <v>138</v>
      </c>
      <c r="I116" s="7" t="s">
        <v>205</v>
      </c>
      <c r="J116" s="277">
        <v>8.6499999999999994E-2</v>
      </c>
      <c r="K116" s="222">
        <f>((K113+K108+K114)/(1-J116))-(K108+K113+K114)</f>
        <v>377.01932170590317</v>
      </c>
    </row>
    <row r="117" spans="3:11" x14ac:dyDescent="0.25">
      <c r="C117" s="24" t="s">
        <v>139</v>
      </c>
      <c r="D117" s="7" t="s">
        <v>206</v>
      </c>
      <c r="E117" s="220"/>
      <c r="F117" s="223"/>
      <c r="H117" s="24" t="s">
        <v>139</v>
      </c>
      <c r="I117" s="7" t="s">
        <v>206</v>
      </c>
      <c r="J117" s="278"/>
      <c r="K117" s="223"/>
    </row>
    <row r="118" spans="3:11" x14ac:dyDescent="0.25">
      <c r="C118" s="24" t="s">
        <v>140</v>
      </c>
      <c r="D118" s="7" t="s">
        <v>207</v>
      </c>
      <c r="E118" s="221"/>
      <c r="F118" s="224"/>
      <c r="H118" s="24" t="s">
        <v>140</v>
      </c>
      <c r="I118" s="7" t="s">
        <v>207</v>
      </c>
      <c r="J118" s="279"/>
      <c r="K118" s="224"/>
    </row>
    <row r="119" spans="3:11" x14ac:dyDescent="0.25">
      <c r="C119" s="229" t="s">
        <v>141</v>
      </c>
      <c r="D119" s="230"/>
      <c r="E119" s="231"/>
      <c r="F119" s="22">
        <f>SUM(F113,F114,F116,F117,F118)</f>
        <v>1020.1835757564421</v>
      </c>
      <c r="H119" s="229" t="s">
        <v>141</v>
      </c>
      <c r="I119" s="230"/>
      <c r="J119" s="231"/>
      <c r="K119" s="22">
        <f>SUM(K113,K114,K116,K117,K118)</f>
        <v>863.17858941088457</v>
      </c>
    </row>
    <row r="120" spans="3:11" x14ac:dyDescent="0.25">
      <c r="C120" s="193"/>
      <c r="D120" s="194"/>
      <c r="E120" s="194"/>
      <c r="F120" s="195"/>
      <c r="H120" s="193"/>
      <c r="I120" s="194"/>
      <c r="J120" s="194"/>
      <c r="K120" s="195"/>
    </row>
    <row r="121" spans="3:11" x14ac:dyDescent="0.25">
      <c r="C121" s="232" t="s">
        <v>142</v>
      </c>
      <c r="D121" s="233"/>
      <c r="E121" s="234"/>
      <c r="F121" s="43" t="s">
        <v>65</v>
      </c>
      <c r="H121" s="232" t="s">
        <v>142</v>
      </c>
      <c r="I121" s="233"/>
      <c r="J121" s="234"/>
      <c r="K121" s="43" t="s">
        <v>65</v>
      </c>
    </row>
    <row r="122" spans="3:11" x14ac:dyDescent="0.25">
      <c r="C122" s="180" t="s">
        <v>143</v>
      </c>
      <c r="D122" s="181"/>
      <c r="E122" s="181"/>
      <c r="F122" s="182"/>
      <c r="H122" s="180" t="s">
        <v>143</v>
      </c>
      <c r="I122" s="181"/>
      <c r="J122" s="181"/>
      <c r="K122" s="182"/>
    </row>
    <row r="123" spans="3:11" x14ac:dyDescent="0.25">
      <c r="C123" s="6" t="s">
        <v>66</v>
      </c>
      <c r="D123" s="183" t="s">
        <v>144</v>
      </c>
      <c r="E123" s="184"/>
      <c r="F123" s="20">
        <f>F34</f>
        <v>2346</v>
      </c>
      <c r="H123" s="6" t="s">
        <v>66</v>
      </c>
      <c r="I123" s="183" t="s">
        <v>144</v>
      </c>
      <c r="J123" s="184"/>
      <c r="K123" s="20">
        <f>K34</f>
        <v>2346</v>
      </c>
    </row>
    <row r="124" spans="3:11" x14ac:dyDescent="0.25">
      <c r="C124" s="6" t="s">
        <v>39</v>
      </c>
      <c r="D124" s="183" t="s">
        <v>145</v>
      </c>
      <c r="E124" s="184"/>
      <c r="F124" s="20">
        <f>F66</f>
        <v>1487.364</v>
      </c>
      <c r="H124" s="6" t="s">
        <v>39</v>
      </c>
      <c r="I124" s="183" t="s">
        <v>145</v>
      </c>
      <c r="J124" s="184"/>
      <c r="K124" s="20">
        <f>K66</f>
        <v>926.93066666666664</v>
      </c>
    </row>
    <row r="125" spans="3:11" x14ac:dyDescent="0.25">
      <c r="C125" s="6" t="s">
        <v>42</v>
      </c>
      <c r="D125" s="183" t="s">
        <v>146</v>
      </c>
      <c r="E125" s="184"/>
      <c r="F125" s="20">
        <f>F77</f>
        <v>148.11705599999999</v>
      </c>
      <c r="H125" s="6" t="s">
        <v>42</v>
      </c>
      <c r="I125" s="183" t="s">
        <v>146</v>
      </c>
      <c r="J125" s="184"/>
      <c r="K125" s="20">
        <f>K77</f>
        <v>148.11705599999999</v>
      </c>
    </row>
    <row r="126" spans="3:11" x14ac:dyDescent="0.25">
      <c r="C126" s="6" t="s">
        <v>44</v>
      </c>
      <c r="D126" s="183" t="s">
        <v>147</v>
      </c>
      <c r="E126" s="184"/>
      <c r="F126" s="20">
        <f>F97</f>
        <v>74.378563135201631</v>
      </c>
      <c r="H126" s="6" t="s">
        <v>44</v>
      </c>
      <c r="I126" s="183" t="s">
        <v>147</v>
      </c>
      <c r="J126" s="184"/>
      <c r="K126" s="20">
        <f>K97</f>
        <v>74.378563135201631</v>
      </c>
    </row>
    <row r="127" spans="3:11" x14ac:dyDescent="0.25">
      <c r="C127" s="6" t="s">
        <v>47</v>
      </c>
      <c r="D127" s="183" t="s">
        <v>148</v>
      </c>
      <c r="E127" s="184"/>
      <c r="F127" s="20">
        <f>F106</f>
        <v>75.355555555555569</v>
      </c>
      <c r="H127" s="6" t="s">
        <v>47</v>
      </c>
      <c r="I127" s="183" t="s">
        <v>148</v>
      </c>
      <c r="J127" s="184"/>
      <c r="K127" s="20">
        <f>K106</f>
        <v>0</v>
      </c>
    </row>
    <row r="128" spans="3:11" x14ac:dyDescent="0.25">
      <c r="C128" s="235" t="s">
        <v>149</v>
      </c>
      <c r="D128" s="236"/>
      <c r="E128" s="237"/>
      <c r="F128" s="20">
        <f>SUM(F123:F127)</f>
        <v>4131.2151746907575</v>
      </c>
      <c r="H128" s="235" t="s">
        <v>149</v>
      </c>
      <c r="I128" s="236"/>
      <c r="J128" s="237"/>
      <c r="K128" s="20">
        <f>SUM(K123:K127)</f>
        <v>3495.4262858018683</v>
      </c>
    </row>
    <row r="129" spans="3:11" x14ac:dyDescent="0.25">
      <c r="C129" s="6" t="s">
        <v>150</v>
      </c>
      <c r="D129" s="183" t="s">
        <v>151</v>
      </c>
      <c r="E129" s="184"/>
      <c r="F129" s="20">
        <f>F119</f>
        <v>1020.1835757564421</v>
      </c>
      <c r="H129" s="6" t="s">
        <v>150</v>
      </c>
      <c r="I129" s="183" t="s">
        <v>151</v>
      </c>
      <c r="J129" s="184"/>
      <c r="K129" s="20">
        <f>K119</f>
        <v>863.17858941088457</v>
      </c>
    </row>
    <row r="130" spans="3:11" x14ac:dyDescent="0.25">
      <c r="C130" s="199" t="s">
        <v>152</v>
      </c>
      <c r="D130" s="201"/>
      <c r="E130" s="200"/>
      <c r="F130" s="42">
        <f>F128+F129</f>
        <v>5151.3987504471997</v>
      </c>
      <c r="H130" s="199" t="s">
        <v>152</v>
      </c>
      <c r="I130" s="201"/>
      <c r="J130" s="200"/>
      <c r="K130" s="42">
        <f>K128+K129</f>
        <v>4358.6048752127526</v>
      </c>
    </row>
    <row r="131" spans="3:11" x14ac:dyDescent="0.25">
      <c r="C131" s="199" t="s">
        <v>1084</v>
      </c>
      <c r="D131" s="201"/>
      <c r="E131" s="200"/>
      <c r="F131" s="42">
        <f>F130/40</f>
        <v>128.78496876117998</v>
      </c>
      <c r="H131" s="199" t="s">
        <v>1084</v>
      </c>
      <c r="I131" s="201"/>
      <c r="J131" s="200"/>
      <c r="K131" s="42">
        <f>K130/40</f>
        <v>108.96512188031882</v>
      </c>
    </row>
  </sheetData>
  <mergeCells count="166">
    <mergeCell ref="H6:K6"/>
    <mergeCell ref="H5:K5"/>
    <mergeCell ref="H4:K4"/>
    <mergeCell ref="J11:K11"/>
    <mergeCell ref="J10:K10"/>
    <mergeCell ref="J9:K9"/>
    <mergeCell ref="J8:K8"/>
    <mergeCell ref="J7:K7"/>
    <mergeCell ref="H16:K16"/>
    <mergeCell ref="H15:K15"/>
    <mergeCell ref="H14:K14"/>
    <mergeCell ref="J13:K13"/>
    <mergeCell ref="J12:K12"/>
    <mergeCell ref="I129:J129"/>
    <mergeCell ref="H130:J130"/>
    <mergeCell ref="H131:J131"/>
    <mergeCell ref="J18:K18"/>
    <mergeCell ref="J17:K17"/>
    <mergeCell ref="I124:J124"/>
    <mergeCell ref="I125:J125"/>
    <mergeCell ref="I126:J126"/>
    <mergeCell ref="I127:J127"/>
    <mergeCell ref="H128:J128"/>
    <mergeCell ref="H119:J119"/>
    <mergeCell ref="H120:K120"/>
    <mergeCell ref="H121:J121"/>
    <mergeCell ref="H122:K122"/>
    <mergeCell ref="I123:J123"/>
    <mergeCell ref="H110:K110"/>
    <mergeCell ref="H111:K111"/>
    <mergeCell ref="I115:K115"/>
    <mergeCell ref="J116:J118"/>
    <mergeCell ref="K116:K118"/>
    <mergeCell ref="I105:J105"/>
    <mergeCell ref="H106:J106"/>
    <mergeCell ref="H107:K107"/>
    <mergeCell ref="H108:J108"/>
    <mergeCell ref="H78:K78"/>
    <mergeCell ref="H79:K79"/>
    <mergeCell ref="H109:K109"/>
    <mergeCell ref="H99:K99"/>
    <mergeCell ref="H100:K100"/>
    <mergeCell ref="I101:J101"/>
    <mergeCell ref="I102:J102"/>
    <mergeCell ref="I104:J104"/>
    <mergeCell ref="H94:J94"/>
    <mergeCell ref="I95:J95"/>
    <mergeCell ref="I96:J96"/>
    <mergeCell ref="H97:J97"/>
    <mergeCell ref="H98:K98"/>
    <mergeCell ref="C120:F120"/>
    <mergeCell ref="C99:F99"/>
    <mergeCell ref="C100:F100"/>
    <mergeCell ref="D101:E101"/>
    <mergeCell ref="D102:E102"/>
    <mergeCell ref="D104:E104"/>
    <mergeCell ref="D105:E105"/>
    <mergeCell ref="C106:E106"/>
    <mergeCell ref="H35:K35"/>
    <mergeCell ref="H36:K36"/>
    <mergeCell ref="H37:K37"/>
    <mergeCell ref="H41:J41"/>
    <mergeCell ref="H42:K42"/>
    <mergeCell ref="I63:J63"/>
    <mergeCell ref="I64:J64"/>
    <mergeCell ref="I65:J65"/>
    <mergeCell ref="H66:J66"/>
    <mergeCell ref="H67:K67"/>
    <mergeCell ref="H52:I52"/>
    <mergeCell ref="H53:K53"/>
    <mergeCell ref="H60:J60"/>
    <mergeCell ref="H61:K61"/>
    <mergeCell ref="H62:J62"/>
    <mergeCell ref="H80:K80"/>
    <mergeCell ref="C131:E131"/>
    <mergeCell ref="D127:E127"/>
    <mergeCell ref="C128:E128"/>
    <mergeCell ref="D129:E129"/>
    <mergeCell ref="C130:E130"/>
    <mergeCell ref="C121:E121"/>
    <mergeCell ref="C122:F122"/>
    <mergeCell ref="D123:E123"/>
    <mergeCell ref="D124:E124"/>
    <mergeCell ref="D125:E125"/>
    <mergeCell ref="D126:E126"/>
    <mergeCell ref="C109:F109"/>
    <mergeCell ref="C110:F110"/>
    <mergeCell ref="C111:F111"/>
    <mergeCell ref="D115:F115"/>
    <mergeCell ref="C119:E119"/>
    <mergeCell ref="E116:E118"/>
    <mergeCell ref="C98:F98"/>
    <mergeCell ref="J19:K19"/>
    <mergeCell ref="H20:K20"/>
    <mergeCell ref="I21:J21"/>
    <mergeCell ref="I22:J22"/>
    <mergeCell ref="I23:J23"/>
    <mergeCell ref="H24:K24"/>
    <mergeCell ref="H25:K25"/>
    <mergeCell ref="H26:K26"/>
    <mergeCell ref="I27:J27"/>
    <mergeCell ref="H34:J34"/>
    <mergeCell ref="H88:J88"/>
    <mergeCell ref="H89:K89"/>
    <mergeCell ref="H92:I92"/>
    <mergeCell ref="H93:K93"/>
    <mergeCell ref="H68:K68"/>
    <mergeCell ref="H69:K69"/>
    <mergeCell ref="H77:J77"/>
    <mergeCell ref="C80:F80"/>
    <mergeCell ref="C88:E88"/>
    <mergeCell ref="C89:F89"/>
    <mergeCell ref="C92:D92"/>
    <mergeCell ref="C93:F93"/>
    <mergeCell ref="C94:E94"/>
    <mergeCell ref="D95:E95"/>
    <mergeCell ref="C107:F107"/>
    <mergeCell ref="C108:E108"/>
    <mergeCell ref="C41:E41"/>
    <mergeCell ref="C42:F42"/>
    <mergeCell ref="D23:E23"/>
    <mergeCell ref="C24:F24"/>
    <mergeCell ref="C25:F25"/>
    <mergeCell ref="C26:F26"/>
    <mergeCell ref="D27:E27"/>
    <mergeCell ref="D96:E96"/>
    <mergeCell ref="C97:E97"/>
    <mergeCell ref="C52:D52"/>
    <mergeCell ref="C77:E77"/>
    <mergeCell ref="C53:F53"/>
    <mergeCell ref="C60:E60"/>
    <mergeCell ref="C61:F61"/>
    <mergeCell ref="C62:E62"/>
    <mergeCell ref="D63:E63"/>
    <mergeCell ref="D64:E64"/>
    <mergeCell ref="D65:E65"/>
    <mergeCell ref="C66:E66"/>
    <mergeCell ref="C67:F67"/>
    <mergeCell ref="C68:F68"/>
    <mergeCell ref="C69:F69"/>
    <mergeCell ref="C78:F78"/>
    <mergeCell ref="C79:F79"/>
    <mergeCell ref="E18:F18"/>
    <mergeCell ref="E19:F19"/>
    <mergeCell ref="C20:F20"/>
    <mergeCell ref="D21:E21"/>
    <mergeCell ref="D22:E22"/>
    <mergeCell ref="F116:F118"/>
    <mergeCell ref="C4:F4"/>
    <mergeCell ref="C5:F5"/>
    <mergeCell ref="E17:F17"/>
    <mergeCell ref="C6:F6"/>
    <mergeCell ref="E7:F7"/>
    <mergeCell ref="E8:F8"/>
    <mergeCell ref="E10:F10"/>
    <mergeCell ref="E11:F11"/>
    <mergeCell ref="E12:F12"/>
    <mergeCell ref="E13:F13"/>
    <mergeCell ref="C14:F14"/>
    <mergeCell ref="C15:F15"/>
    <mergeCell ref="C16:F16"/>
    <mergeCell ref="E9:F9"/>
    <mergeCell ref="C35:F35"/>
    <mergeCell ref="C34:E34"/>
    <mergeCell ref="C36:F36"/>
    <mergeCell ref="C37:F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351F8-DFB9-482B-A1CB-381B02AEF371}">
  <dimension ref="B4:L132"/>
  <sheetViews>
    <sheetView topLeftCell="A100" workbookViewId="0">
      <selection activeCell="E9" sqref="E9"/>
    </sheetView>
  </sheetViews>
  <sheetFormatPr defaultColWidth="9.140625" defaultRowHeight="15" x14ac:dyDescent="0.25"/>
  <cols>
    <col min="2" max="2" width="32.7109375" customWidth="1"/>
    <col min="4" max="4" width="57" bestFit="1" customWidth="1"/>
    <col min="5" max="5" width="15.85546875" customWidth="1"/>
    <col min="6" max="6" width="11.42578125" bestFit="1" customWidth="1"/>
    <col min="9" max="9" width="57" bestFit="1" customWidth="1"/>
    <col min="10" max="10" width="15.85546875" customWidth="1"/>
    <col min="11" max="11" width="11.42578125" bestFit="1" customWidth="1"/>
  </cols>
  <sheetData>
    <row r="4" spans="3:11" x14ac:dyDescent="0.25">
      <c r="C4" s="169" t="s">
        <v>1134</v>
      </c>
      <c r="D4" s="169"/>
      <c r="E4" s="169"/>
      <c r="F4" s="169"/>
      <c r="H4" s="169" t="s">
        <v>1134</v>
      </c>
      <c r="I4" s="169"/>
      <c r="J4" s="169"/>
      <c r="K4" s="169"/>
    </row>
    <row r="5" spans="3:11" x14ac:dyDescent="0.25">
      <c r="C5" s="170" t="s">
        <v>35</v>
      </c>
      <c r="D5" s="170"/>
      <c r="E5" s="170"/>
      <c r="F5" s="170"/>
      <c r="H5" s="170" t="s">
        <v>35</v>
      </c>
      <c r="I5" s="170"/>
      <c r="J5" s="170"/>
      <c r="K5" s="170"/>
    </row>
    <row r="6" spans="3:11" x14ac:dyDescent="0.25">
      <c r="C6" s="171" t="s">
        <v>36</v>
      </c>
      <c r="D6" s="171"/>
      <c r="E6" s="171"/>
      <c r="F6" s="171"/>
      <c r="H6" s="171" t="s">
        <v>36</v>
      </c>
      <c r="I6" s="171"/>
      <c r="J6" s="171"/>
      <c r="K6" s="171"/>
    </row>
    <row r="7" spans="3:11" x14ac:dyDescent="0.25">
      <c r="C7" s="6" t="s">
        <v>37</v>
      </c>
      <c r="D7" s="7" t="s">
        <v>38</v>
      </c>
      <c r="E7" s="172"/>
      <c r="F7" s="173"/>
      <c r="H7" s="6" t="s">
        <v>37</v>
      </c>
      <c r="I7" s="7" t="s">
        <v>38</v>
      </c>
      <c r="J7" s="172"/>
      <c r="K7" s="173"/>
    </row>
    <row r="8" spans="3:11" x14ac:dyDescent="0.25">
      <c r="C8" s="6" t="s">
        <v>39</v>
      </c>
      <c r="D8" s="7" t="s">
        <v>40</v>
      </c>
      <c r="E8" s="176" t="s">
        <v>41</v>
      </c>
      <c r="F8" s="176"/>
      <c r="H8" s="6" t="s">
        <v>39</v>
      </c>
      <c r="I8" s="7" t="s">
        <v>40</v>
      </c>
      <c r="J8" s="176" t="s">
        <v>41</v>
      </c>
      <c r="K8" s="176"/>
    </row>
    <row r="9" spans="3:11" x14ac:dyDescent="0.25">
      <c r="C9" s="8" t="s">
        <v>42</v>
      </c>
      <c r="D9" s="9" t="s">
        <v>43</v>
      </c>
      <c r="E9" s="45" t="s">
        <v>154</v>
      </c>
      <c r="F9" s="46">
        <v>2025</v>
      </c>
      <c r="H9" s="8" t="s">
        <v>42</v>
      </c>
      <c r="I9" s="9" t="s">
        <v>43</v>
      </c>
      <c r="J9" s="45" t="s">
        <v>154</v>
      </c>
      <c r="K9" s="46">
        <v>2025</v>
      </c>
    </row>
    <row r="10" spans="3:11" x14ac:dyDescent="0.25">
      <c r="C10" s="6" t="s">
        <v>44</v>
      </c>
      <c r="D10" s="7" t="s">
        <v>45</v>
      </c>
      <c r="E10" s="172" t="s">
        <v>46</v>
      </c>
      <c r="F10" s="173"/>
      <c r="H10" s="6" t="s">
        <v>44</v>
      </c>
      <c r="I10" s="7" t="s">
        <v>45</v>
      </c>
      <c r="J10" s="172" t="s">
        <v>46</v>
      </c>
      <c r="K10" s="173"/>
    </row>
    <row r="11" spans="3:11" x14ac:dyDescent="0.25">
      <c r="C11" s="6" t="s">
        <v>47</v>
      </c>
      <c r="D11" s="7" t="s">
        <v>48</v>
      </c>
      <c r="E11" s="172" t="s">
        <v>49</v>
      </c>
      <c r="F11" s="173"/>
      <c r="H11" s="6" t="s">
        <v>47</v>
      </c>
      <c r="I11" s="7" t="s">
        <v>48</v>
      </c>
      <c r="J11" s="172" t="s">
        <v>49</v>
      </c>
      <c r="K11" s="173"/>
    </row>
    <row r="12" spans="3:11" x14ac:dyDescent="0.25">
      <c r="C12" s="6" t="s">
        <v>50</v>
      </c>
      <c r="D12" s="7" t="s">
        <v>51</v>
      </c>
      <c r="E12" s="174" t="s">
        <v>218</v>
      </c>
      <c r="F12" s="175"/>
      <c r="H12" s="6" t="s">
        <v>50</v>
      </c>
      <c r="I12" s="7" t="s">
        <v>51</v>
      </c>
      <c r="J12" s="174" t="s">
        <v>218</v>
      </c>
      <c r="K12" s="175"/>
    </row>
    <row r="13" spans="3:11" x14ac:dyDescent="0.25">
      <c r="C13" s="6" t="s">
        <v>52</v>
      </c>
      <c r="D13" s="7" t="s">
        <v>53</v>
      </c>
      <c r="E13" s="172">
        <v>1</v>
      </c>
      <c r="F13" s="173"/>
      <c r="H13" s="6" t="s">
        <v>52</v>
      </c>
      <c r="I13" s="7" t="s">
        <v>53</v>
      </c>
      <c r="J13" s="172">
        <v>1</v>
      </c>
      <c r="K13" s="173"/>
    </row>
    <row r="14" spans="3:11" x14ac:dyDescent="0.25">
      <c r="C14" s="179" t="s">
        <v>217</v>
      </c>
      <c r="D14" s="179"/>
      <c r="E14" s="179"/>
      <c r="F14" s="179"/>
      <c r="H14" s="179" t="s">
        <v>217</v>
      </c>
      <c r="I14" s="179"/>
      <c r="J14" s="179"/>
      <c r="K14" s="179"/>
    </row>
    <row r="15" spans="3:11" x14ac:dyDescent="0.25">
      <c r="C15" s="180" t="s">
        <v>54</v>
      </c>
      <c r="D15" s="181"/>
      <c r="E15" s="181"/>
      <c r="F15" s="182"/>
      <c r="H15" s="180" t="s">
        <v>54</v>
      </c>
      <c r="I15" s="181"/>
      <c r="J15" s="181"/>
      <c r="K15" s="182"/>
    </row>
    <row r="16" spans="3:11" x14ac:dyDescent="0.25">
      <c r="C16" s="176" t="s">
        <v>55</v>
      </c>
      <c r="D16" s="176"/>
      <c r="E16" s="176"/>
      <c r="F16" s="176"/>
      <c r="H16" s="176" t="s">
        <v>55</v>
      </c>
      <c r="I16" s="176"/>
      <c r="J16" s="176"/>
      <c r="K16" s="176"/>
    </row>
    <row r="17" spans="3:11" x14ac:dyDescent="0.25">
      <c r="C17" s="6">
        <v>1</v>
      </c>
      <c r="D17" s="7" t="s">
        <v>56</v>
      </c>
      <c r="E17" s="172" t="s">
        <v>1133</v>
      </c>
      <c r="F17" s="173" t="s">
        <v>57</v>
      </c>
      <c r="H17" s="6">
        <v>1</v>
      </c>
      <c r="I17" s="7" t="s">
        <v>56</v>
      </c>
      <c r="J17" s="172" t="s">
        <v>1133</v>
      </c>
      <c r="K17" s="173" t="s">
        <v>57</v>
      </c>
    </row>
    <row r="18" spans="3:11" x14ac:dyDescent="0.25">
      <c r="C18" s="6"/>
      <c r="D18" s="10" t="s">
        <v>194</v>
      </c>
      <c r="E18" s="172">
        <v>1</v>
      </c>
      <c r="F18" s="173">
        <v>1</v>
      </c>
      <c r="H18" s="6"/>
      <c r="I18" s="10" t="s">
        <v>194</v>
      </c>
      <c r="J18" s="172">
        <v>1</v>
      </c>
      <c r="K18" s="173">
        <v>1</v>
      </c>
    </row>
    <row r="19" spans="3:11" ht="39" customHeight="1" x14ac:dyDescent="0.25">
      <c r="C19" s="6">
        <v>2</v>
      </c>
      <c r="D19" s="11" t="s">
        <v>58</v>
      </c>
      <c r="E19" s="177" t="s">
        <v>1135</v>
      </c>
      <c r="F19" s="178"/>
      <c r="H19" s="6">
        <v>2</v>
      </c>
      <c r="I19" s="11" t="s">
        <v>58</v>
      </c>
      <c r="J19" s="177" t="s">
        <v>1135</v>
      </c>
      <c r="K19" s="178"/>
    </row>
    <row r="20" spans="3:11" x14ac:dyDescent="0.25">
      <c r="C20" s="176" t="s">
        <v>59</v>
      </c>
      <c r="D20" s="176"/>
      <c r="E20" s="176"/>
      <c r="F20" s="176"/>
      <c r="H20" s="176" t="s">
        <v>59</v>
      </c>
      <c r="I20" s="176"/>
      <c r="J20" s="176"/>
      <c r="K20" s="176"/>
    </row>
    <row r="21" spans="3:11" x14ac:dyDescent="0.25">
      <c r="C21" s="6">
        <v>3</v>
      </c>
      <c r="D21" s="183" t="s">
        <v>1155</v>
      </c>
      <c r="E21" s="184"/>
      <c r="F21" s="31">
        <v>4007.02</v>
      </c>
      <c r="H21" s="6">
        <v>3</v>
      </c>
      <c r="I21" s="183" t="s">
        <v>219</v>
      </c>
      <c r="J21" s="184"/>
      <c r="K21" s="31">
        <v>4007.02</v>
      </c>
    </row>
    <row r="22" spans="3:11" x14ac:dyDescent="0.25">
      <c r="C22" s="6">
        <v>4</v>
      </c>
      <c r="D22" s="183" t="s">
        <v>61</v>
      </c>
      <c r="E22" s="184"/>
      <c r="F22" s="32" t="s">
        <v>154</v>
      </c>
      <c r="H22" s="6">
        <v>4</v>
      </c>
      <c r="I22" s="183" t="s">
        <v>61</v>
      </c>
      <c r="J22" s="184"/>
      <c r="K22" s="32" t="s">
        <v>154</v>
      </c>
    </row>
    <row r="23" spans="3:11" x14ac:dyDescent="0.25">
      <c r="C23" s="6">
        <v>5</v>
      </c>
      <c r="D23" s="183" t="s">
        <v>62</v>
      </c>
      <c r="E23" s="184"/>
      <c r="F23" s="33">
        <v>45658</v>
      </c>
      <c r="H23" s="6">
        <v>5</v>
      </c>
      <c r="I23" s="183" t="s">
        <v>62</v>
      </c>
      <c r="J23" s="184"/>
      <c r="K23" s="33">
        <v>45658</v>
      </c>
    </row>
    <row r="24" spans="3:11" x14ac:dyDescent="0.25">
      <c r="C24" s="172"/>
      <c r="D24" s="185"/>
      <c r="E24" s="185"/>
      <c r="F24" s="173"/>
      <c r="H24" s="172"/>
      <c r="I24" s="185"/>
      <c r="J24" s="185"/>
      <c r="K24" s="173"/>
    </row>
    <row r="25" spans="3:11" x14ac:dyDescent="0.25">
      <c r="C25" s="186" t="s">
        <v>63</v>
      </c>
      <c r="D25" s="186"/>
      <c r="E25" s="186"/>
      <c r="F25" s="186"/>
      <c r="H25" s="186" t="s">
        <v>63</v>
      </c>
      <c r="I25" s="186"/>
      <c r="J25" s="186"/>
      <c r="K25" s="186"/>
    </row>
    <row r="26" spans="3:11" x14ac:dyDescent="0.25">
      <c r="C26" s="196"/>
      <c r="D26" s="197"/>
      <c r="E26" s="197"/>
      <c r="F26" s="198"/>
      <c r="H26" s="196"/>
      <c r="I26" s="197"/>
      <c r="J26" s="197"/>
      <c r="K26" s="198"/>
    </row>
    <row r="27" spans="3:11" x14ac:dyDescent="0.25">
      <c r="C27" s="12">
        <v>1</v>
      </c>
      <c r="D27" s="199" t="s">
        <v>64</v>
      </c>
      <c r="E27" s="200"/>
      <c r="F27" s="12" t="s">
        <v>65</v>
      </c>
      <c r="H27" s="12">
        <v>1</v>
      </c>
      <c r="I27" s="199" t="s">
        <v>64</v>
      </c>
      <c r="J27" s="200"/>
      <c r="K27" s="12" t="s">
        <v>65</v>
      </c>
    </row>
    <row r="28" spans="3:11" x14ac:dyDescent="0.25">
      <c r="C28" s="6" t="s">
        <v>66</v>
      </c>
      <c r="D28" s="7" t="s">
        <v>67</v>
      </c>
      <c r="E28" s="34">
        <v>1</v>
      </c>
      <c r="F28" s="47">
        <f>F21</f>
        <v>4007.02</v>
      </c>
      <c r="H28" s="6" t="s">
        <v>66</v>
      </c>
      <c r="I28" s="7" t="s">
        <v>67</v>
      </c>
      <c r="J28" s="34">
        <v>1</v>
      </c>
      <c r="K28" s="47">
        <f>K21</f>
        <v>4007.02</v>
      </c>
    </row>
    <row r="29" spans="3:11" x14ac:dyDescent="0.25">
      <c r="C29" s="6" t="s">
        <v>39</v>
      </c>
      <c r="D29" s="7" t="s">
        <v>68</v>
      </c>
      <c r="E29" s="14">
        <v>0.3</v>
      </c>
      <c r="F29" s="15">
        <f>F28*E29</f>
        <v>1202.106</v>
      </c>
      <c r="H29" s="6" t="s">
        <v>39</v>
      </c>
      <c r="I29" s="7" t="s">
        <v>68</v>
      </c>
      <c r="J29" s="14">
        <v>0.3</v>
      </c>
      <c r="K29" s="15">
        <f>K28*J29</f>
        <v>1202.106</v>
      </c>
    </row>
    <row r="30" spans="3:11" x14ac:dyDescent="0.25">
      <c r="C30" s="6" t="s">
        <v>42</v>
      </c>
      <c r="D30" s="7" t="s">
        <v>69</v>
      </c>
      <c r="E30" s="14">
        <v>0</v>
      </c>
      <c r="F30" s="16">
        <v>0</v>
      </c>
      <c r="H30" s="6" t="s">
        <v>42</v>
      </c>
      <c r="I30" s="7" t="s">
        <v>69</v>
      </c>
      <c r="J30" s="14">
        <v>0</v>
      </c>
      <c r="K30" s="16">
        <v>0</v>
      </c>
    </row>
    <row r="31" spans="3:11" x14ac:dyDescent="0.25">
      <c r="C31" s="6" t="s">
        <v>44</v>
      </c>
      <c r="D31" s="7" t="s">
        <v>70</v>
      </c>
      <c r="E31" s="14">
        <v>0</v>
      </c>
      <c r="F31" s="16">
        <v>0</v>
      </c>
      <c r="H31" s="6" t="s">
        <v>44</v>
      </c>
      <c r="I31" s="7" t="s">
        <v>70</v>
      </c>
      <c r="J31" s="14">
        <v>0</v>
      </c>
      <c r="K31" s="16">
        <v>0</v>
      </c>
    </row>
    <row r="32" spans="3:11" x14ac:dyDescent="0.25">
      <c r="C32" s="6" t="s">
        <v>47</v>
      </c>
      <c r="D32" s="7" t="s">
        <v>71</v>
      </c>
      <c r="E32" s="14">
        <v>0</v>
      </c>
      <c r="F32" s="16">
        <v>0</v>
      </c>
      <c r="H32" s="6" t="s">
        <v>47</v>
      </c>
      <c r="I32" s="7" t="s">
        <v>71</v>
      </c>
      <c r="J32" s="14">
        <v>0</v>
      </c>
      <c r="K32" s="16">
        <v>0</v>
      </c>
    </row>
    <row r="33" spans="3:11" x14ac:dyDescent="0.25">
      <c r="C33" s="6" t="s">
        <v>50</v>
      </c>
      <c r="D33" s="7" t="s">
        <v>220</v>
      </c>
      <c r="E33" s="34">
        <v>0</v>
      </c>
      <c r="F33" s="53">
        <v>0</v>
      </c>
      <c r="H33" s="6" t="s">
        <v>50</v>
      </c>
      <c r="I33" s="7" t="s">
        <v>220</v>
      </c>
      <c r="J33" s="34">
        <v>0</v>
      </c>
      <c r="K33" s="53">
        <v>0</v>
      </c>
    </row>
    <row r="34" spans="3:11" x14ac:dyDescent="0.25">
      <c r="C34" s="6" t="s">
        <v>52</v>
      </c>
      <c r="D34" s="7" t="s">
        <v>72</v>
      </c>
      <c r="E34" s="14">
        <v>0</v>
      </c>
      <c r="F34" s="16">
        <v>0</v>
      </c>
      <c r="H34" s="6" t="s">
        <v>52</v>
      </c>
      <c r="I34" s="7" t="s">
        <v>72</v>
      </c>
      <c r="J34" s="14">
        <v>0</v>
      </c>
      <c r="K34" s="16">
        <v>0</v>
      </c>
    </row>
    <row r="35" spans="3:11" x14ac:dyDescent="0.25">
      <c r="C35" s="199" t="s">
        <v>73</v>
      </c>
      <c r="D35" s="201"/>
      <c r="E35" s="200"/>
      <c r="F35" s="17">
        <f>SUM(F28:F34)</f>
        <v>5209.1260000000002</v>
      </c>
      <c r="H35" s="199" t="s">
        <v>73</v>
      </c>
      <c r="I35" s="201"/>
      <c r="J35" s="200"/>
      <c r="K35" s="17">
        <f>SUM(K28:K34)</f>
        <v>5209.1260000000002</v>
      </c>
    </row>
    <row r="36" spans="3:11" x14ac:dyDescent="0.25">
      <c r="C36" s="189"/>
      <c r="D36" s="189"/>
      <c r="E36" s="189"/>
      <c r="F36" s="189"/>
      <c r="H36" s="189"/>
      <c r="I36" s="189"/>
      <c r="J36" s="189"/>
      <c r="K36" s="189"/>
    </row>
    <row r="37" spans="3:11" x14ac:dyDescent="0.25">
      <c r="C37" s="190" t="s">
        <v>74</v>
      </c>
      <c r="D37" s="191"/>
      <c r="E37" s="191"/>
      <c r="F37" s="192"/>
      <c r="H37" s="190" t="s">
        <v>74</v>
      </c>
      <c r="I37" s="191"/>
      <c r="J37" s="191"/>
      <c r="K37" s="192"/>
    </row>
    <row r="38" spans="3:11" x14ac:dyDescent="0.25">
      <c r="C38" s="193"/>
      <c r="D38" s="194"/>
      <c r="E38" s="194"/>
      <c r="F38" s="195"/>
      <c r="H38" s="193"/>
      <c r="I38" s="194"/>
      <c r="J38" s="194"/>
      <c r="K38" s="195"/>
    </row>
    <row r="39" spans="3:11" x14ac:dyDescent="0.25">
      <c r="C39" s="18" t="s">
        <v>75</v>
      </c>
      <c r="D39" s="19" t="s">
        <v>76</v>
      </c>
      <c r="E39" s="18" t="s">
        <v>77</v>
      </c>
      <c r="F39" s="18" t="s">
        <v>65</v>
      </c>
      <c r="H39" s="18" t="s">
        <v>75</v>
      </c>
      <c r="I39" s="19" t="s">
        <v>76</v>
      </c>
      <c r="J39" s="18" t="s">
        <v>77</v>
      </c>
      <c r="K39" s="18" t="s">
        <v>65</v>
      </c>
    </row>
    <row r="40" spans="3:11" x14ac:dyDescent="0.25">
      <c r="C40" s="20" t="s">
        <v>66</v>
      </c>
      <c r="D40" s="21" t="s">
        <v>78</v>
      </c>
      <c r="E40" s="44">
        <f>1/12</f>
        <v>8.3333333333333329E-2</v>
      </c>
      <c r="F40" s="20">
        <f>F35*E40</f>
        <v>434.09383333333335</v>
      </c>
      <c r="H40" s="20" t="s">
        <v>66</v>
      </c>
      <c r="I40" s="21" t="s">
        <v>78</v>
      </c>
      <c r="J40" s="44">
        <f>1/12</f>
        <v>8.3333333333333329E-2</v>
      </c>
      <c r="K40" s="20">
        <f>K35*J40</f>
        <v>434.09383333333335</v>
      </c>
    </row>
    <row r="41" spans="3:11" x14ac:dyDescent="0.25">
      <c r="C41" s="20" t="s">
        <v>39</v>
      </c>
      <c r="D41" s="21" t="s">
        <v>79</v>
      </c>
      <c r="E41" s="28">
        <f>(1/12)+(1/(12*3))</f>
        <v>0.1111111111111111</v>
      </c>
      <c r="F41" s="20">
        <f>E41*F35</f>
        <v>578.79177777777772</v>
      </c>
      <c r="H41" s="20" t="s">
        <v>39</v>
      </c>
      <c r="I41" s="21" t="s">
        <v>79</v>
      </c>
      <c r="J41" s="28">
        <f>(1/12)+(1/(12*3))</f>
        <v>0.1111111111111111</v>
      </c>
      <c r="K41" s="20">
        <f>J41*K35</f>
        <v>578.79177777777772</v>
      </c>
    </row>
    <row r="42" spans="3:11" x14ac:dyDescent="0.25">
      <c r="C42" s="205" t="s">
        <v>80</v>
      </c>
      <c r="D42" s="206"/>
      <c r="E42" s="207"/>
      <c r="F42" s="22">
        <f>SUM(F40:F41)</f>
        <v>1012.8856111111111</v>
      </c>
      <c r="H42" s="205" t="s">
        <v>80</v>
      </c>
      <c r="I42" s="206"/>
      <c r="J42" s="207"/>
      <c r="K42" s="22">
        <f>SUM(K40:K41)</f>
        <v>1012.8856111111111</v>
      </c>
    </row>
    <row r="43" spans="3:11" x14ac:dyDescent="0.25">
      <c r="C43" s="193"/>
      <c r="D43" s="194"/>
      <c r="E43" s="194"/>
      <c r="F43" s="195"/>
      <c r="H43" s="193"/>
      <c r="I43" s="194"/>
      <c r="J43" s="194"/>
      <c r="K43" s="195"/>
    </row>
    <row r="44" spans="3:11" x14ac:dyDescent="0.25">
      <c r="C44" s="22" t="s">
        <v>81</v>
      </c>
      <c r="D44" s="23" t="s">
        <v>82</v>
      </c>
      <c r="E44" s="22" t="s">
        <v>77</v>
      </c>
      <c r="F44" s="22" t="s">
        <v>65</v>
      </c>
      <c r="H44" s="22" t="s">
        <v>81</v>
      </c>
      <c r="I44" s="23" t="s">
        <v>82</v>
      </c>
      <c r="J44" s="22" t="s">
        <v>77</v>
      </c>
      <c r="K44" s="22" t="s">
        <v>65</v>
      </c>
    </row>
    <row r="45" spans="3:11" x14ac:dyDescent="0.25">
      <c r="C45" s="24" t="s">
        <v>66</v>
      </c>
      <c r="D45" s="25" t="s">
        <v>83</v>
      </c>
      <c r="E45" s="35">
        <f>2/10</f>
        <v>0.2</v>
      </c>
      <c r="F45" s="20">
        <f>E45*($F$35+$F$42)</f>
        <v>1244.4023222222222</v>
      </c>
      <c r="H45" s="24" t="s">
        <v>66</v>
      </c>
      <c r="I45" s="25" t="s">
        <v>83</v>
      </c>
      <c r="J45" s="35">
        <v>0</v>
      </c>
      <c r="K45" s="20">
        <f>J45*($F$35+$F$42)</f>
        <v>0</v>
      </c>
    </row>
    <row r="46" spans="3:11" x14ac:dyDescent="0.25">
      <c r="C46" s="24" t="s">
        <v>39</v>
      </c>
      <c r="D46" s="25" t="s">
        <v>84</v>
      </c>
      <c r="E46" s="35">
        <f>2.5/100</f>
        <v>2.5000000000000001E-2</v>
      </c>
      <c r="F46" s="20">
        <f t="shared" ref="F46:F52" si="0">E46*($F$35+$F$42)</f>
        <v>155.55029027777778</v>
      </c>
      <c r="H46" s="24" t="s">
        <v>39</v>
      </c>
      <c r="I46" s="25" t="s">
        <v>84</v>
      </c>
      <c r="J46" s="35">
        <f>2.5/100</f>
        <v>2.5000000000000001E-2</v>
      </c>
      <c r="K46" s="20">
        <f t="shared" ref="K46:K52" si="1">J46*($F$35+$F$42)</f>
        <v>155.55029027777778</v>
      </c>
    </row>
    <row r="47" spans="3:11" x14ac:dyDescent="0.25">
      <c r="C47" s="24" t="s">
        <v>42</v>
      </c>
      <c r="D47" s="25" t="s">
        <v>85</v>
      </c>
      <c r="E47" s="35">
        <f>3/100</f>
        <v>0.03</v>
      </c>
      <c r="F47" s="20">
        <f t="shared" si="0"/>
        <v>186.66034833333333</v>
      </c>
      <c r="H47" s="24" t="s">
        <v>42</v>
      </c>
      <c r="I47" s="25" t="s">
        <v>85</v>
      </c>
      <c r="J47" s="35">
        <f>3/100</f>
        <v>0.03</v>
      </c>
      <c r="K47" s="20">
        <f t="shared" si="1"/>
        <v>186.66034833333333</v>
      </c>
    </row>
    <row r="48" spans="3:11" x14ac:dyDescent="0.25">
      <c r="C48" s="24" t="s">
        <v>44</v>
      </c>
      <c r="D48" s="25" t="s">
        <v>86</v>
      </c>
      <c r="E48" s="35">
        <f>1.5/100</f>
        <v>1.4999999999999999E-2</v>
      </c>
      <c r="F48" s="20">
        <f t="shared" si="0"/>
        <v>93.330174166666666</v>
      </c>
      <c r="H48" s="24" t="s">
        <v>44</v>
      </c>
      <c r="I48" s="25" t="s">
        <v>86</v>
      </c>
      <c r="J48" s="35">
        <f>1.5/100</f>
        <v>1.4999999999999999E-2</v>
      </c>
      <c r="K48" s="20">
        <f t="shared" si="1"/>
        <v>93.330174166666666</v>
      </c>
    </row>
    <row r="49" spans="3:12" x14ac:dyDescent="0.25">
      <c r="C49" s="24" t="s">
        <v>47</v>
      </c>
      <c r="D49" s="25" t="s">
        <v>87</v>
      </c>
      <c r="E49" s="35">
        <f>1/100</f>
        <v>0.01</v>
      </c>
      <c r="F49" s="20">
        <f t="shared" si="0"/>
        <v>62.220116111111111</v>
      </c>
      <c r="H49" s="24" t="s">
        <v>47</v>
      </c>
      <c r="I49" s="25" t="s">
        <v>87</v>
      </c>
      <c r="J49" s="35">
        <f>1/100</f>
        <v>0.01</v>
      </c>
      <c r="K49" s="20">
        <f t="shared" si="1"/>
        <v>62.220116111111111</v>
      </c>
    </row>
    <row r="50" spans="3:12" x14ac:dyDescent="0.25">
      <c r="C50" s="24" t="s">
        <v>50</v>
      </c>
      <c r="D50" s="25" t="s">
        <v>88</v>
      </c>
      <c r="E50" s="35">
        <f>0.6/100</f>
        <v>6.0000000000000001E-3</v>
      </c>
      <c r="F50" s="20">
        <f t="shared" si="0"/>
        <v>37.332069666666669</v>
      </c>
      <c r="H50" s="24" t="s">
        <v>50</v>
      </c>
      <c r="I50" s="25" t="s">
        <v>88</v>
      </c>
      <c r="J50" s="35">
        <f>0.6/100</f>
        <v>6.0000000000000001E-3</v>
      </c>
      <c r="K50" s="20">
        <f t="shared" si="1"/>
        <v>37.332069666666669</v>
      </c>
    </row>
    <row r="51" spans="3:12" x14ac:dyDescent="0.25">
      <c r="C51" s="24" t="s">
        <v>52</v>
      </c>
      <c r="D51" s="25" t="s">
        <v>89</v>
      </c>
      <c r="E51" s="35">
        <f>0.2/100</f>
        <v>2E-3</v>
      </c>
      <c r="F51" s="20">
        <f t="shared" si="0"/>
        <v>12.444023222222222</v>
      </c>
      <c r="H51" s="24" t="s">
        <v>52</v>
      </c>
      <c r="I51" s="25" t="s">
        <v>89</v>
      </c>
      <c r="J51" s="35">
        <f>0.2/100</f>
        <v>2E-3</v>
      </c>
      <c r="K51" s="20">
        <f t="shared" si="1"/>
        <v>12.444023222222222</v>
      </c>
    </row>
    <row r="52" spans="3:12" x14ac:dyDescent="0.25">
      <c r="C52" s="24" t="s">
        <v>90</v>
      </c>
      <c r="D52" s="25" t="s">
        <v>91</v>
      </c>
      <c r="E52" s="35">
        <f>8/100</f>
        <v>0.08</v>
      </c>
      <c r="F52" s="20">
        <f t="shared" si="0"/>
        <v>497.76092888888888</v>
      </c>
      <c r="H52" s="24" t="s">
        <v>90</v>
      </c>
      <c r="I52" s="25" t="s">
        <v>91</v>
      </c>
      <c r="J52" s="35">
        <f>8/100</f>
        <v>0.08</v>
      </c>
      <c r="K52" s="20">
        <f t="shared" si="1"/>
        <v>497.76092888888888</v>
      </c>
    </row>
    <row r="53" spans="3:12" x14ac:dyDescent="0.25">
      <c r="C53" s="202" t="s">
        <v>80</v>
      </c>
      <c r="D53" s="204"/>
      <c r="E53" s="36">
        <v>0.36800000000000005</v>
      </c>
      <c r="F53" s="22">
        <f>SUM(F45:F52)</f>
        <v>2289.7002728888892</v>
      </c>
      <c r="H53" s="202" t="s">
        <v>80</v>
      </c>
      <c r="I53" s="204"/>
      <c r="J53" s="36">
        <v>0.36800000000000005</v>
      </c>
      <c r="K53" s="22">
        <f>SUM(K45:K52)</f>
        <v>1045.2979506666666</v>
      </c>
    </row>
    <row r="54" spans="3:12" x14ac:dyDescent="0.25">
      <c r="C54" s="193"/>
      <c r="D54" s="194"/>
      <c r="E54" s="194"/>
      <c r="F54" s="195"/>
      <c r="H54" s="193"/>
      <c r="I54" s="194"/>
      <c r="J54" s="194"/>
      <c r="K54" s="195"/>
    </row>
    <row r="55" spans="3:12" x14ac:dyDescent="0.25">
      <c r="C55" s="22" t="s">
        <v>92</v>
      </c>
      <c r="D55" s="23" t="s">
        <v>93</v>
      </c>
      <c r="E55" s="22" t="s">
        <v>94</v>
      </c>
      <c r="F55" s="22" t="s">
        <v>65</v>
      </c>
      <c r="H55" s="22" t="s">
        <v>92</v>
      </c>
      <c r="I55" s="23" t="s">
        <v>93</v>
      </c>
      <c r="J55" s="22" t="s">
        <v>94</v>
      </c>
      <c r="K55" s="22" t="s">
        <v>65</v>
      </c>
    </row>
    <row r="56" spans="3:12" x14ac:dyDescent="0.25">
      <c r="C56" s="24" t="s">
        <v>66</v>
      </c>
      <c r="D56" s="25" t="s">
        <v>197</v>
      </c>
      <c r="E56" s="37">
        <v>4.95</v>
      </c>
      <c r="F56" s="38">
        <v>0</v>
      </c>
      <c r="H56" s="24" t="s">
        <v>66</v>
      </c>
      <c r="I56" s="25" t="s">
        <v>197</v>
      </c>
      <c r="J56" s="37">
        <v>4.95</v>
      </c>
      <c r="K56" s="38">
        <v>0</v>
      </c>
      <c r="L56" s="153" t="s">
        <v>1145</v>
      </c>
    </row>
    <row r="57" spans="3:12" x14ac:dyDescent="0.25">
      <c r="C57" s="24" t="s">
        <v>39</v>
      </c>
      <c r="D57" s="25" t="s">
        <v>1146</v>
      </c>
      <c r="E57" s="37">
        <v>23.76</v>
      </c>
      <c r="F57" s="158">
        <f>23.76*22*0.95</f>
        <v>496.584</v>
      </c>
      <c r="H57" s="24" t="s">
        <v>39</v>
      </c>
      <c r="I57" s="25" t="s">
        <v>1146</v>
      </c>
      <c r="J57" s="37">
        <v>23.76</v>
      </c>
      <c r="K57" s="38">
        <f>23.76*22*0.95</f>
        <v>496.584</v>
      </c>
    </row>
    <row r="58" spans="3:12" x14ac:dyDescent="0.25">
      <c r="C58" s="24" t="s">
        <v>42</v>
      </c>
      <c r="D58" s="25" t="s">
        <v>1147</v>
      </c>
      <c r="E58" s="37">
        <v>164.16</v>
      </c>
      <c r="F58" s="20">
        <f>E58*1</f>
        <v>164.16</v>
      </c>
      <c r="H58" s="24" t="s">
        <v>42</v>
      </c>
      <c r="I58" s="25" t="s">
        <v>1147</v>
      </c>
      <c r="J58" s="37">
        <v>164.16</v>
      </c>
      <c r="K58" s="20">
        <f>J58*1</f>
        <v>164.16</v>
      </c>
    </row>
    <row r="59" spans="3:12" x14ac:dyDescent="0.25">
      <c r="C59" s="24" t="s">
        <v>44</v>
      </c>
      <c r="D59" s="155" t="s">
        <v>1148</v>
      </c>
      <c r="E59" s="37">
        <v>59</v>
      </c>
      <c r="F59" s="20">
        <f>E59</f>
        <v>59</v>
      </c>
      <c r="H59" s="24" t="s">
        <v>44</v>
      </c>
      <c r="I59" s="155" t="s">
        <v>1148</v>
      </c>
      <c r="J59" s="37">
        <v>59</v>
      </c>
      <c r="K59" s="20">
        <f>J59</f>
        <v>59</v>
      </c>
    </row>
    <row r="60" spans="3:12" x14ac:dyDescent="0.25">
      <c r="C60" s="24" t="s">
        <v>47</v>
      </c>
      <c r="D60" s="25" t="s">
        <v>97</v>
      </c>
      <c r="E60" s="37"/>
      <c r="F60" s="20">
        <v>0</v>
      </c>
      <c r="H60" s="24" t="s">
        <v>47</v>
      </c>
      <c r="I60" s="25" t="s">
        <v>97</v>
      </c>
      <c r="J60" s="37"/>
      <c r="K60" s="20">
        <v>0</v>
      </c>
    </row>
    <row r="61" spans="3:12" x14ac:dyDescent="0.25">
      <c r="C61" s="202" t="s">
        <v>98</v>
      </c>
      <c r="D61" s="203"/>
      <c r="E61" s="204"/>
      <c r="F61" s="22">
        <f>SUM(F56:F60)</f>
        <v>719.74400000000003</v>
      </c>
      <c r="H61" s="202" t="s">
        <v>98</v>
      </c>
      <c r="I61" s="203"/>
      <c r="J61" s="204"/>
      <c r="K61" s="22">
        <f>SUM(K56:K60)</f>
        <v>719.74400000000003</v>
      </c>
    </row>
    <row r="62" spans="3:12" x14ac:dyDescent="0.25">
      <c r="C62" s="193"/>
      <c r="D62" s="194"/>
      <c r="E62" s="194"/>
      <c r="F62" s="195"/>
      <c r="H62" s="193"/>
      <c r="I62" s="194"/>
      <c r="J62" s="194"/>
      <c r="K62" s="195"/>
    </row>
    <row r="63" spans="3:12" x14ac:dyDescent="0.25">
      <c r="C63" s="202" t="s">
        <v>99</v>
      </c>
      <c r="D63" s="203"/>
      <c r="E63" s="204"/>
      <c r="F63" s="22" t="s">
        <v>65</v>
      </c>
      <c r="H63" s="202" t="s">
        <v>99</v>
      </c>
      <c r="I63" s="203"/>
      <c r="J63" s="204"/>
      <c r="K63" s="22" t="s">
        <v>65</v>
      </c>
    </row>
    <row r="64" spans="3:12" x14ac:dyDescent="0.25">
      <c r="C64" s="24" t="s">
        <v>100</v>
      </c>
      <c r="D64" s="208" t="s">
        <v>76</v>
      </c>
      <c r="E64" s="209"/>
      <c r="F64" s="20">
        <f>F42</f>
        <v>1012.8856111111111</v>
      </c>
      <c r="H64" s="24" t="s">
        <v>100</v>
      </c>
      <c r="I64" s="208" t="s">
        <v>76</v>
      </c>
      <c r="J64" s="209"/>
      <c r="K64" s="20">
        <f>K42</f>
        <v>1012.8856111111111</v>
      </c>
    </row>
    <row r="65" spans="2:11" x14ac:dyDescent="0.25">
      <c r="C65" s="24" t="s">
        <v>81</v>
      </c>
      <c r="D65" s="208" t="s">
        <v>82</v>
      </c>
      <c r="E65" s="209"/>
      <c r="F65" s="20">
        <f>F53</f>
        <v>2289.7002728888892</v>
      </c>
      <c r="H65" s="24" t="s">
        <v>81</v>
      </c>
      <c r="I65" s="208" t="s">
        <v>82</v>
      </c>
      <c r="J65" s="209"/>
      <c r="K65" s="20">
        <f>K53</f>
        <v>1045.2979506666666</v>
      </c>
    </row>
    <row r="66" spans="2:11" x14ac:dyDescent="0.25">
      <c r="C66" s="24" t="s">
        <v>101</v>
      </c>
      <c r="D66" s="208" t="s">
        <v>93</v>
      </c>
      <c r="E66" s="209"/>
      <c r="F66" s="20">
        <f>F61</f>
        <v>719.74400000000003</v>
      </c>
      <c r="H66" s="24" t="s">
        <v>101</v>
      </c>
      <c r="I66" s="208" t="s">
        <v>93</v>
      </c>
      <c r="J66" s="209"/>
      <c r="K66" s="20">
        <f>K61</f>
        <v>719.74400000000003</v>
      </c>
    </row>
    <row r="67" spans="2:11" x14ac:dyDescent="0.25">
      <c r="C67" s="202" t="s">
        <v>80</v>
      </c>
      <c r="D67" s="203"/>
      <c r="E67" s="204"/>
      <c r="F67" s="22">
        <f>SUM(F64:F66)</f>
        <v>4022.3298840000002</v>
      </c>
      <c r="H67" s="202" t="s">
        <v>80</v>
      </c>
      <c r="I67" s="203"/>
      <c r="J67" s="204"/>
      <c r="K67" s="22">
        <f>SUM(K64:K66)</f>
        <v>2777.927561777778</v>
      </c>
    </row>
    <row r="68" spans="2:11" x14ac:dyDescent="0.25">
      <c r="C68" s="193"/>
      <c r="D68" s="194"/>
      <c r="E68" s="194"/>
      <c r="F68" s="195"/>
      <c r="H68" s="193"/>
      <c r="I68" s="194"/>
      <c r="J68" s="194"/>
      <c r="K68" s="195"/>
    </row>
    <row r="69" spans="2:11" x14ac:dyDescent="0.25">
      <c r="C69" s="190" t="s">
        <v>102</v>
      </c>
      <c r="D69" s="191"/>
      <c r="E69" s="191"/>
      <c r="F69" s="192"/>
      <c r="H69" s="190" t="s">
        <v>102</v>
      </c>
      <c r="I69" s="191"/>
      <c r="J69" s="191"/>
      <c r="K69" s="192"/>
    </row>
    <row r="70" spans="2:11" x14ac:dyDescent="0.25">
      <c r="C70" s="193"/>
      <c r="D70" s="194"/>
      <c r="E70" s="194"/>
      <c r="F70" s="195"/>
      <c r="H70" s="193"/>
      <c r="I70" s="194"/>
      <c r="J70" s="194"/>
      <c r="K70" s="195"/>
    </row>
    <row r="71" spans="2:11" x14ac:dyDescent="0.25">
      <c r="C71" s="12">
        <v>3</v>
      </c>
      <c r="D71" s="23" t="s">
        <v>103</v>
      </c>
      <c r="E71" s="22" t="s">
        <v>77</v>
      </c>
      <c r="F71" s="22" t="s">
        <v>65</v>
      </c>
      <c r="H71" s="12">
        <v>3</v>
      </c>
      <c r="I71" s="23" t="s">
        <v>103</v>
      </c>
      <c r="J71" s="22" t="s">
        <v>77</v>
      </c>
      <c r="K71" s="22" t="s">
        <v>65</v>
      </c>
    </row>
    <row r="72" spans="2:11" x14ac:dyDescent="0.25">
      <c r="B72" s="129" t="s">
        <v>201</v>
      </c>
      <c r="C72" s="24" t="s">
        <v>66</v>
      </c>
      <c r="D72" s="25" t="s">
        <v>104</v>
      </c>
      <c r="E72" s="35">
        <f>0.42/100</f>
        <v>4.1999999999999997E-3</v>
      </c>
      <c r="F72" s="20">
        <f>E72*F35</f>
        <v>21.8783292</v>
      </c>
      <c r="H72" s="24" t="s">
        <v>66</v>
      </c>
      <c r="I72" s="25" t="s">
        <v>104</v>
      </c>
      <c r="J72" s="35">
        <f>0.42/100</f>
        <v>4.1999999999999997E-3</v>
      </c>
      <c r="K72" s="20">
        <f>J72*K35</f>
        <v>21.8783292</v>
      </c>
    </row>
    <row r="73" spans="2:11" x14ac:dyDescent="0.25">
      <c r="B73" s="129" t="s">
        <v>1085</v>
      </c>
      <c r="C73" s="24" t="s">
        <v>39</v>
      </c>
      <c r="D73" s="25" t="s">
        <v>105</v>
      </c>
      <c r="E73" s="35">
        <f>0.08*E72</f>
        <v>3.3599999999999998E-4</v>
      </c>
      <c r="F73" s="20">
        <f>E73*F35</f>
        <v>1.7502663359999999</v>
      </c>
      <c r="H73" s="24" t="s">
        <v>39</v>
      </c>
      <c r="I73" s="25" t="s">
        <v>105</v>
      </c>
      <c r="J73" s="35">
        <f>0.08*J72</f>
        <v>3.3599999999999998E-4</v>
      </c>
      <c r="K73" s="20">
        <f>J73*K35</f>
        <v>1.7502663359999999</v>
      </c>
    </row>
    <row r="74" spans="2:11" x14ac:dyDescent="0.25">
      <c r="B74" s="129" t="s">
        <v>202</v>
      </c>
      <c r="C74" s="24" t="s">
        <v>42</v>
      </c>
      <c r="D74" s="25" t="s">
        <v>106</v>
      </c>
      <c r="E74" s="35">
        <f>0.4*0.08*0.05</f>
        <v>1.6000000000000001E-3</v>
      </c>
      <c r="F74" s="20">
        <f>F35*E74</f>
        <v>8.3346016000000009</v>
      </c>
      <c r="H74" s="24" t="s">
        <v>42</v>
      </c>
      <c r="I74" s="25" t="s">
        <v>106</v>
      </c>
      <c r="J74" s="35">
        <f>0.4*0.08*0.05</f>
        <v>1.6000000000000001E-3</v>
      </c>
      <c r="K74" s="20">
        <f>K35*J74</f>
        <v>8.3346016000000009</v>
      </c>
    </row>
    <row r="75" spans="2:11" x14ac:dyDescent="0.25">
      <c r="B75" s="129" t="s">
        <v>203</v>
      </c>
      <c r="C75" s="24" t="s">
        <v>44</v>
      </c>
      <c r="D75" s="25" t="s">
        <v>198</v>
      </c>
      <c r="E75" s="35">
        <f>((7/30)/12)</f>
        <v>1.9444444444444445E-2</v>
      </c>
      <c r="F75" s="20">
        <f>E75*F35</f>
        <v>101.28856111111112</v>
      </c>
      <c r="H75" s="24" t="s">
        <v>44</v>
      </c>
      <c r="I75" s="25" t="s">
        <v>198</v>
      </c>
      <c r="J75" s="35">
        <f>((7/30)/12)</f>
        <v>1.9444444444444445E-2</v>
      </c>
      <c r="K75" s="20">
        <f>J75*K35</f>
        <v>101.28856111111112</v>
      </c>
    </row>
    <row r="76" spans="2:11" ht="25.5" x14ac:dyDescent="0.25">
      <c r="B76" s="129" t="s">
        <v>1087</v>
      </c>
      <c r="C76" s="24" t="s">
        <v>47</v>
      </c>
      <c r="D76" s="25" t="s">
        <v>108</v>
      </c>
      <c r="E76" s="35">
        <f>0.368*E75</f>
        <v>7.1555555555555556E-3</v>
      </c>
      <c r="F76" s="20">
        <f>F35*E76</f>
        <v>37.274190488888891</v>
      </c>
      <c r="H76" s="24" t="s">
        <v>47</v>
      </c>
      <c r="I76" s="25" t="s">
        <v>108</v>
      </c>
      <c r="J76" s="35">
        <f>0.368*J75</f>
        <v>7.1555555555555556E-3</v>
      </c>
      <c r="K76" s="20">
        <f>K35*J76</f>
        <v>37.274190488888891</v>
      </c>
    </row>
    <row r="77" spans="2:11" x14ac:dyDescent="0.25">
      <c r="B77" s="129" t="s">
        <v>204</v>
      </c>
      <c r="C77" s="24" t="s">
        <v>50</v>
      </c>
      <c r="D77" s="25" t="s">
        <v>109</v>
      </c>
      <c r="E77" s="35">
        <f>0.4*0.08*0.95</f>
        <v>3.04E-2</v>
      </c>
      <c r="F77" s="20">
        <f>F35*E77</f>
        <v>158.3574304</v>
      </c>
      <c r="H77" s="24" t="s">
        <v>50</v>
      </c>
      <c r="I77" s="25" t="s">
        <v>109</v>
      </c>
      <c r="J77" s="35">
        <f>0.4*0.08*0.95</f>
        <v>3.04E-2</v>
      </c>
      <c r="K77" s="20">
        <f>K35*J77</f>
        <v>158.3574304</v>
      </c>
    </row>
    <row r="78" spans="2:11" x14ac:dyDescent="0.25">
      <c r="C78" s="202" t="s">
        <v>110</v>
      </c>
      <c r="D78" s="203"/>
      <c r="E78" s="204"/>
      <c r="F78" s="22">
        <f>SUM(F72:F77)</f>
        <v>328.88337913600003</v>
      </c>
      <c r="H78" s="202" t="s">
        <v>110</v>
      </c>
      <c r="I78" s="203"/>
      <c r="J78" s="204"/>
      <c r="K78" s="22">
        <f>SUM(K72:K77)</f>
        <v>328.88337913600003</v>
      </c>
    </row>
    <row r="79" spans="2:11" x14ac:dyDescent="0.25">
      <c r="C79" s="193"/>
      <c r="D79" s="194"/>
      <c r="E79" s="194"/>
      <c r="F79" s="195"/>
      <c r="H79" s="193"/>
      <c r="I79" s="194"/>
      <c r="J79" s="194"/>
      <c r="K79" s="195"/>
    </row>
    <row r="80" spans="2:11" x14ac:dyDescent="0.25">
      <c r="C80" s="190" t="s">
        <v>111</v>
      </c>
      <c r="D80" s="191"/>
      <c r="E80" s="191"/>
      <c r="F80" s="192"/>
      <c r="H80" s="190" t="s">
        <v>111</v>
      </c>
      <c r="I80" s="191"/>
      <c r="J80" s="191"/>
      <c r="K80" s="192"/>
    </row>
    <row r="81" spans="3:11" x14ac:dyDescent="0.25">
      <c r="C81" s="210"/>
      <c r="D81" s="211"/>
      <c r="E81" s="211"/>
      <c r="F81" s="212"/>
      <c r="H81" s="210"/>
      <c r="I81" s="211"/>
      <c r="J81" s="211"/>
      <c r="K81" s="212"/>
    </row>
    <row r="82" spans="3:11" x14ac:dyDescent="0.25">
      <c r="C82" s="22" t="s">
        <v>112</v>
      </c>
      <c r="D82" s="23" t="s">
        <v>113</v>
      </c>
      <c r="E82" s="26" t="s">
        <v>77</v>
      </c>
      <c r="F82" s="22" t="s">
        <v>65</v>
      </c>
      <c r="H82" s="22" t="s">
        <v>112</v>
      </c>
      <c r="I82" s="23" t="s">
        <v>113</v>
      </c>
      <c r="J82" s="26" t="s">
        <v>77</v>
      </c>
      <c r="K82" s="22" t="s">
        <v>65</v>
      </c>
    </row>
    <row r="83" spans="3:11" x14ac:dyDescent="0.25">
      <c r="C83" s="24" t="s">
        <v>66</v>
      </c>
      <c r="D83" s="25" t="s">
        <v>114</v>
      </c>
      <c r="E83" s="35">
        <f>(((1+1/3)/12)/12)</f>
        <v>9.2592592592592587E-3</v>
      </c>
      <c r="F83" s="20">
        <f>($F$78+$F$67+$F$35)*E83</f>
        <v>88.52165984385185</v>
      </c>
      <c r="H83" s="24" t="s">
        <v>66</v>
      </c>
      <c r="I83" s="25" t="s">
        <v>114</v>
      </c>
      <c r="J83" s="35">
        <f>(((1+1/3)/12)/12)</f>
        <v>9.2592592592592587E-3</v>
      </c>
      <c r="K83" s="20">
        <f>($F$78+$F$67+$F$35)*J83</f>
        <v>88.52165984385185</v>
      </c>
    </row>
    <row r="84" spans="3:11" x14ac:dyDescent="0.25">
      <c r="C84" s="24" t="s">
        <v>39</v>
      </c>
      <c r="D84" s="25" t="s">
        <v>115</v>
      </c>
      <c r="E84" s="35">
        <f>((2/30)/12)</f>
        <v>5.5555555555555558E-3</v>
      </c>
      <c r="F84" s="20">
        <f t="shared" ref="F84:F88" si="2">($F$78+$F$67+$F$35)*E84</f>
        <v>53.112995906311113</v>
      </c>
      <c r="H84" s="24" t="s">
        <v>39</v>
      </c>
      <c r="I84" s="25" t="s">
        <v>115</v>
      </c>
      <c r="J84" s="35">
        <f>((2/30)/12)</f>
        <v>5.5555555555555558E-3</v>
      </c>
      <c r="K84" s="20">
        <f t="shared" ref="K84:K88" si="3">($F$78+$F$67+$F$35)*J84</f>
        <v>53.112995906311113</v>
      </c>
    </row>
    <row r="85" spans="3:11" x14ac:dyDescent="0.25">
      <c r="C85" s="24" t="s">
        <v>42</v>
      </c>
      <c r="D85" s="25" t="s">
        <v>116</v>
      </c>
      <c r="E85" s="52">
        <f>((5/30)/12)*0.015</f>
        <v>2.0833333333333332E-4</v>
      </c>
      <c r="F85" s="20">
        <f t="shared" si="2"/>
        <v>1.9917373464866666</v>
      </c>
      <c r="H85" s="24" t="s">
        <v>42</v>
      </c>
      <c r="I85" s="25" t="s">
        <v>116</v>
      </c>
      <c r="J85" s="52">
        <f>((5/30)/12)*0.015</f>
        <v>2.0833333333333332E-4</v>
      </c>
      <c r="K85" s="20">
        <f t="shared" si="3"/>
        <v>1.9917373464866666</v>
      </c>
    </row>
    <row r="86" spans="3:11" x14ac:dyDescent="0.25">
      <c r="C86" s="24" t="s">
        <v>44</v>
      </c>
      <c r="D86" s="25" t="s">
        <v>117</v>
      </c>
      <c r="E86" s="35">
        <f>(((15/30)/12)*0.08)</f>
        <v>3.3333333333333331E-3</v>
      </c>
      <c r="F86" s="20">
        <f t="shared" si="2"/>
        <v>31.867797543786665</v>
      </c>
      <c r="H86" s="24" t="s">
        <v>44</v>
      </c>
      <c r="I86" s="25" t="s">
        <v>117</v>
      </c>
      <c r="J86" s="35">
        <f>(((15/30)/12)*0.08)</f>
        <v>3.3333333333333331E-3</v>
      </c>
      <c r="K86" s="20">
        <f t="shared" si="3"/>
        <v>31.867797543786665</v>
      </c>
    </row>
    <row r="87" spans="3:11" x14ac:dyDescent="0.25">
      <c r="C87" s="24" t="s">
        <v>47</v>
      </c>
      <c r="D87" s="25" t="s">
        <v>118</v>
      </c>
      <c r="E87" s="52">
        <f>0.0144*0.1*0.4509*6/12</f>
        <v>3.2464800000000003E-4</v>
      </c>
      <c r="F87" s="20">
        <f t="shared" si="2"/>
        <v>3.1037450210985766</v>
      </c>
      <c r="H87" s="24" t="s">
        <v>47</v>
      </c>
      <c r="I87" s="25" t="s">
        <v>118</v>
      </c>
      <c r="J87" s="52">
        <f>0.0144*0.1*0.4509*6/12</f>
        <v>3.2464800000000003E-4</v>
      </c>
      <c r="K87" s="20">
        <f t="shared" si="3"/>
        <v>3.1037450210985766</v>
      </c>
    </row>
    <row r="88" spans="3:11" x14ac:dyDescent="0.25">
      <c r="C88" s="24" t="s">
        <v>50</v>
      </c>
      <c r="D88" s="25" t="s">
        <v>119</v>
      </c>
      <c r="E88" s="35">
        <v>0</v>
      </c>
      <c r="F88" s="20">
        <f t="shared" si="2"/>
        <v>0</v>
      </c>
      <c r="H88" s="24" t="s">
        <v>50</v>
      </c>
      <c r="I88" s="25" t="s">
        <v>119</v>
      </c>
      <c r="J88" s="35">
        <v>0</v>
      </c>
      <c r="K88" s="20">
        <f t="shared" si="3"/>
        <v>0</v>
      </c>
    </row>
    <row r="89" spans="3:11" x14ac:dyDescent="0.25">
      <c r="C89" s="202" t="s">
        <v>80</v>
      </c>
      <c r="D89" s="203"/>
      <c r="E89" s="204"/>
      <c r="F89" s="22">
        <f>SUM(F83:F88)</f>
        <v>178.59793566153485</v>
      </c>
      <c r="H89" s="202" t="s">
        <v>80</v>
      </c>
      <c r="I89" s="203"/>
      <c r="J89" s="204"/>
      <c r="K89" s="22">
        <f>SUM(K83:K88)</f>
        <v>178.59793566153485</v>
      </c>
    </row>
    <row r="90" spans="3:11" x14ac:dyDescent="0.25">
      <c r="C90" s="193"/>
      <c r="D90" s="194"/>
      <c r="E90" s="194"/>
      <c r="F90" s="195"/>
      <c r="H90" s="193"/>
      <c r="I90" s="194"/>
      <c r="J90" s="194"/>
      <c r="K90" s="195"/>
    </row>
    <row r="91" spans="3:11" x14ac:dyDescent="0.25">
      <c r="C91" s="27" t="s">
        <v>120</v>
      </c>
      <c r="D91" s="27" t="s">
        <v>121</v>
      </c>
      <c r="E91" s="26" t="s">
        <v>77</v>
      </c>
      <c r="F91" s="22" t="s">
        <v>65</v>
      </c>
      <c r="H91" s="27" t="s">
        <v>120</v>
      </c>
      <c r="I91" s="27" t="s">
        <v>121</v>
      </c>
      <c r="J91" s="26" t="s">
        <v>77</v>
      </c>
      <c r="K91" s="22" t="s">
        <v>65</v>
      </c>
    </row>
    <row r="92" spans="3:11" x14ac:dyDescent="0.25">
      <c r="C92" s="20" t="s">
        <v>66</v>
      </c>
      <c r="D92" s="21" t="s">
        <v>122</v>
      </c>
      <c r="E92" s="28">
        <v>0</v>
      </c>
      <c r="F92" s="20">
        <v>0</v>
      </c>
      <c r="H92" s="20" t="s">
        <v>66</v>
      </c>
      <c r="I92" s="21" t="s">
        <v>122</v>
      </c>
      <c r="J92" s="28">
        <v>0</v>
      </c>
      <c r="K92" s="20">
        <v>0</v>
      </c>
    </row>
    <row r="93" spans="3:11" x14ac:dyDescent="0.25">
      <c r="C93" s="202" t="s">
        <v>80</v>
      </c>
      <c r="D93" s="204"/>
      <c r="E93" s="39">
        <v>0</v>
      </c>
      <c r="F93" s="22">
        <v>0</v>
      </c>
      <c r="H93" s="202" t="s">
        <v>80</v>
      </c>
      <c r="I93" s="204"/>
      <c r="J93" s="39">
        <v>0</v>
      </c>
      <c r="K93" s="22">
        <v>0</v>
      </c>
    </row>
    <row r="94" spans="3:11" x14ac:dyDescent="0.25">
      <c r="C94" s="193"/>
      <c r="D94" s="194"/>
      <c r="E94" s="194"/>
      <c r="F94" s="195"/>
      <c r="H94" s="193"/>
      <c r="I94" s="194"/>
      <c r="J94" s="194"/>
      <c r="K94" s="195"/>
    </row>
    <row r="95" spans="3:11" x14ac:dyDescent="0.25">
      <c r="C95" s="202" t="s">
        <v>123</v>
      </c>
      <c r="D95" s="203"/>
      <c r="E95" s="204"/>
      <c r="F95" s="22" t="s">
        <v>65</v>
      </c>
      <c r="H95" s="202" t="s">
        <v>123</v>
      </c>
      <c r="I95" s="203"/>
      <c r="J95" s="204"/>
      <c r="K95" s="22" t="s">
        <v>65</v>
      </c>
    </row>
    <row r="96" spans="3:11" x14ac:dyDescent="0.25">
      <c r="C96" s="20" t="s">
        <v>112</v>
      </c>
      <c r="D96" s="213" t="s">
        <v>113</v>
      </c>
      <c r="E96" s="214"/>
      <c r="F96" s="20">
        <f>F89</f>
        <v>178.59793566153485</v>
      </c>
      <c r="H96" s="20" t="s">
        <v>112</v>
      </c>
      <c r="I96" s="213" t="s">
        <v>113</v>
      </c>
      <c r="J96" s="214"/>
      <c r="K96" s="20">
        <f>K89</f>
        <v>178.59793566153485</v>
      </c>
    </row>
    <row r="97" spans="3:11" x14ac:dyDescent="0.25">
      <c r="C97" s="20" t="s">
        <v>120</v>
      </c>
      <c r="D97" s="213" t="s">
        <v>121</v>
      </c>
      <c r="E97" s="214"/>
      <c r="F97" s="20">
        <v>0</v>
      </c>
      <c r="H97" s="20" t="s">
        <v>120</v>
      </c>
      <c r="I97" s="213" t="s">
        <v>121</v>
      </c>
      <c r="J97" s="214"/>
      <c r="K97" s="20">
        <v>0</v>
      </c>
    </row>
    <row r="98" spans="3:11" x14ac:dyDescent="0.25">
      <c r="C98" s="202" t="s">
        <v>124</v>
      </c>
      <c r="D98" s="203"/>
      <c r="E98" s="204"/>
      <c r="F98" s="22">
        <f>SUM(F96:F97)</f>
        <v>178.59793566153485</v>
      </c>
      <c r="H98" s="202" t="s">
        <v>124</v>
      </c>
      <c r="I98" s="203"/>
      <c r="J98" s="204"/>
      <c r="K98" s="22">
        <f>SUM(K96:K97)</f>
        <v>178.59793566153485</v>
      </c>
    </row>
    <row r="99" spans="3:11" x14ac:dyDescent="0.25">
      <c r="C99" s="193"/>
      <c r="D99" s="194"/>
      <c r="E99" s="194"/>
      <c r="F99" s="195"/>
      <c r="H99" s="193"/>
      <c r="I99" s="194"/>
      <c r="J99" s="194"/>
      <c r="K99" s="195"/>
    </row>
    <row r="100" spans="3:11" x14ac:dyDescent="0.25">
      <c r="C100" s="190" t="s">
        <v>125</v>
      </c>
      <c r="D100" s="191"/>
      <c r="E100" s="191"/>
      <c r="F100" s="192"/>
      <c r="H100" s="190" t="s">
        <v>125</v>
      </c>
      <c r="I100" s="191"/>
      <c r="J100" s="191"/>
      <c r="K100" s="192"/>
    </row>
    <row r="101" spans="3:11" x14ac:dyDescent="0.25">
      <c r="C101" s="210"/>
      <c r="D101" s="211"/>
      <c r="E101" s="211"/>
      <c r="F101" s="212"/>
      <c r="H101" s="210"/>
      <c r="I101" s="211"/>
      <c r="J101" s="211"/>
      <c r="K101" s="212"/>
    </row>
    <row r="102" spans="3:11" x14ac:dyDescent="0.25">
      <c r="C102" s="12">
        <v>5</v>
      </c>
      <c r="D102" s="202" t="s">
        <v>126</v>
      </c>
      <c r="E102" s="204"/>
      <c r="F102" s="22" t="s">
        <v>65</v>
      </c>
      <c r="H102" s="12">
        <v>5</v>
      </c>
      <c r="I102" s="202" t="s">
        <v>126</v>
      </c>
      <c r="J102" s="204"/>
      <c r="K102" s="22" t="s">
        <v>65</v>
      </c>
    </row>
    <row r="103" spans="3:11" x14ac:dyDescent="0.25">
      <c r="C103" s="24" t="s">
        <v>66</v>
      </c>
      <c r="D103" s="216" t="s">
        <v>127</v>
      </c>
      <c r="E103" s="217"/>
      <c r="F103" s="20">
        <f>UNIFORMES!E9</f>
        <v>75.355555555555569</v>
      </c>
      <c r="H103" s="24" t="s">
        <v>66</v>
      </c>
      <c r="I103" s="216" t="s">
        <v>127</v>
      </c>
      <c r="J103" s="217"/>
      <c r="K103" s="118">
        <f>UNIFORMES!E9</f>
        <v>75.355555555555569</v>
      </c>
    </row>
    <row r="104" spans="3:11" x14ac:dyDescent="0.25">
      <c r="C104" s="24" t="s">
        <v>39</v>
      </c>
      <c r="D104" s="29" t="s">
        <v>128</v>
      </c>
      <c r="E104" s="30"/>
      <c r="F104" s="20">
        <v>0</v>
      </c>
      <c r="H104" s="24" t="s">
        <v>39</v>
      </c>
      <c r="I104" s="29" t="s">
        <v>128</v>
      </c>
      <c r="J104" s="30"/>
      <c r="K104" s="20">
        <v>0</v>
      </c>
    </row>
    <row r="105" spans="3:11" x14ac:dyDescent="0.25">
      <c r="C105" s="24" t="s">
        <v>42</v>
      </c>
      <c r="D105" s="216" t="s">
        <v>129</v>
      </c>
      <c r="E105" s="217"/>
      <c r="F105" s="118">
        <f>'Ferramentas de Uso Geral'!E60+'Ferramentas ELE-TEC-MEC'!E33</f>
        <v>86.806103703703698</v>
      </c>
      <c r="H105" s="24" t="s">
        <v>42</v>
      </c>
      <c r="I105" s="216" t="s">
        <v>129</v>
      </c>
      <c r="J105" s="217"/>
      <c r="K105" s="118">
        <f>'Ferramentas de Uso Geral'!E60+'Ferramentas ELE-TEC-MEC'!E33</f>
        <v>86.806103703703698</v>
      </c>
    </row>
    <row r="106" spans="3:11" x14ac:dyDescent="0.25">
      <c r="C106" s="24" t="s">
        <v>44</v>
      </c>
      <c r="D106" s="216" t="s">
        <v>130</v>
      </c>
      <c r="E106" s="217"/>
      <c r="F106" s="20">
        <v>0</v>
      </c>
      <c r="H106" s="24" t="s">
        <v>44</v>
      </c>
      <c r="I106" s="216" t="s">
        <v>130</v>
      </c>
      <c r="J106" s="217"/>
      <c r="K106" s="20">
        <v>0</v>
      </c>
    </row>
    <row r="107" spans="3:11" x14ac:dyDescent="0.25">
      <c r="C107" s="202" t="s">
        <v>131</v>
      </c>
      <c r="D107" s="203"/>
      <c r="E107" s="204"/>
      <c r="F107" s="22">
        <f>SUM(F103:F106)</f>
        <v>162.16165925925927</v>
      </c>
      <c r="H107" s="202" t="s">
        <v>131</v>
      </c>
      <c r="I107" s="203"/>
      <c r="J107" s="204"/>
      <c r="K107" s="22">
        <f>SUM(K103:K106)</f>
        <v>162.16165925925927</v>
      </c>
    </row>
    <row r="108" spans="3:11" x14ac:dyDescent="0.25">
      <c r="C108" s="193"/>
      <c r="D108" s="194"/>
      <c r="E108" s="194"/>
      <c r="F108" s="195"/>
      <c r="H108" s="193"/>
      <c r="I108" s="194"/>
      <c r="J108" s="194"/>
      <c r="K108" s="195"/>
    </row>
    <row r="109" spans="3:11" x14ac:dyDescent="0.25">
      <c r="C109" s="215" t="s">
        <v>132</v>
      </c>
      <c r="D109" s="215"/>
      <c r="E109" s="215"/>
      <c r="F109" s="41">
        <f>F107+F98+F78+F35+F67</f>
        <v>9901.0988580567955</v>
      </c>
      <c r="H109" s="215" t="s">
        <v>132</v>
      </c>
      <c r="I109" s="215"/>
      <c r="J109" s="215"/>
      <c r="K109" s="41">
        <f>K107+K98+K78+K35+K67</f>
        <v>8656.6965358345733</v>
      </c>
    </row>
    <row r="110" spans="3:11" x14ac:dyDescent="0.25">
      <c r="C110" s="189"/>
      <c r="D110" s="189"/>
      <c r="E110" s="189"/>
      <c r="F110" s="189"/>
      <c r="H110" s="189"/>
      <c r="I110" s="189"/>
      <c r="J110" s="189"/>
      <c r="K110" s="189"/>
    </row>
    <row r="111" spans="3:11" x14ac:dyDescent="0.25">
      <c r="C111" s="228" t="s">
        <v>133</v>
      </c>
      <c r="D111" s="228"/>
      <c r="E111" s="228"/>
      <c r="F111" s="228"/>
      <c r="H111" s="228" t="s">
        <v>133</v>
      </c>
      <c r="I111" s="228"/>
      <c r="J111" s="228"/>
      <c r="K111" s="228"/>
    </row>
    <row r="112" spans="3:11" x14ac:dyDescent="0.25">
      <c r="C112" s="193"/>
      <c r="D112" s="194"/>
      <c r="E112" s="194"/>
      <c r="F112" s="195"/>
      <c r="H112" s="193"/>
      <c r="I112" s="194"/>
      <c r="J112" s="194"/>
      <c r="K112" s="195"/>
    </row>
    <row r="113" spans="3:11" x14ac:dyDescent="0.25">
      <c r="C113" s="12">
        <v>6</v>
      </c>
      <c r="D113" s="40" t="s">
        <v>134</v>
      </c>
      <c r="E113" s="22" t="s">
        <v>77</v>
      </c>
      <c r="F113" s="22" t="s">
        <v>65</v>
      </c>
      <c r="H113" s="12">
        <v>6</v>
      </c>
      <c r="I113" s="40" t="s">
        <v>134</v>
      </c>
      <c r="J113" s="22" t="s">
        <v>77</v>
      </c>
      <c r="K113" s="22" t="s">
        <v>65</v>
      </c>
    </row>
    <row r="114" spans="3:11" x14ac:dyDescent="0.25">
      <c r="C114" s="24" t="s">
        <v>66</v>
      </c>
      <c r="D114" s="25" t="s">
        <v>135</v>
      </c>
      <c r="E114" s="35">
        <f>6.06/100</f>
        <v>6.0599999999999994E-2</v>
      </c>
      <c r="F114" s="20">
        <f>E114*F109</f>
        <v>600.00659079824175</v>
      </c>
      <c r="H114" s="24" t="s">
        <v>66</v>
      </c>
      <c r="I114" s="25" t="s">
        <v>135</v>
      </c>
      <c r="J114" s="35">
        <f>6.06/100</f>
        <v>6.0599999999999994E-2</v>
      </c>
      <c r="K114" s="20">
        <f>J114*K109</f>
        <v>524.5958100715751</v>
      </c>
    </row>
    <row r="115" spans="3:11" x14ac:dyDescent="0.25">
      <c r="C115" s="24" t="s">
        <v>39</v>
      </c>
      <c r="D115" s="25" t="s">
        <v>136</v>
      </c>
      <c r="E115" s="35">
        <f>7.4/100</f>
        <v>7.400000000000001E-2</v>
      </c>
      <c r="F115" s="20">
        <f>E115*(F109+F114)</f>
        <v>777.08180321527288</v>
      </c>
      <c r="H115" s="24" t="s">
        <v>39</v>
      </c>
      <c r="I115" s="25" t="s">
        <v>136</v>
      </c>
      <c r="J115" s="35">
        <f>7.4/100</f>
        <v>7.400000000000001E-2</v>
      </c>
      <c r="K115" s="20">
        <f>J115*(K109+K114)</f>
        <v>679.41563359705503</v>
      </c>
    </row>
    <row r="116" spans="3:11" x14ac:dyDescent="0.25">
      <c r="C116" s="24" t="s">
        <v>42</v>
      </c>
      <c r="D116" s="208" t="s">
        <v>137</v>
      </c>
      <c r="E116" s="218"/>
      <c r="F116" s="209"/>
      <c r="H116" s="24" t="s">
        <v>42</v>
      </c>
      <c r="I116" s="208" t="s">
        <v>137</v>
      </c>
      <c r="J116" s="218"/>
      <c r="K116" s="209"/>
    </row>
    <row r="117" spans="3:11" x14ac:dyDescent="0.25">
      <c r="C117" s="24" t="s">
        <v>138</v>
      </c>
      <c r="D117" s="7" t="s">
        <v>205</v>
      </c>
      <c r="E117" s="219">
        <v>8.6499999999999994E-2</v>
      </c>
      <c r="F117" s="222">
        <f>((F114+F109+F115)/(1-E117))-(F109+F115+F114)</f>
        <v>1067.9400079957104</v>
      </c>
      <c r="H117" s="24" t="s">
        <v>138</v>
      </c>
      <c r="I117" s="7" t="s">
        <v>205</v>
      </c>
      <c r="J117" s="219">
        <v>8.6499999999999994E-2</v>
      </c>
      <c r="K117" s="222">
        <f>((K114+K109+K115)/(1-J117))-(K109+K115+K114)</f>
        <v>933.71783276083988</v>
      </c>
    </row>
    <row r="118" spans="3:11" x14ac:dyDescent="0.25">
      <c r="C118" s="24" t="s">
        <v>139</v>
      </c>
      <c r="D118" s="7" t="s">
        <v>206</v>
      </c>
      <c r="E118" s="220"/>
      <c r="F118" s="223"/>
      <c r="H118" s="24" t="s">
        <v>139</v>
      </c>
      <c r="I118" s="7" t="s">
        <v>206</v>
      </c>
      <c r="J118" s="220"/>
      <c r="K118" s="223"/>
    </row>
    <row r="119" spans="3:11" x14ac:dyDescent="0.25">
      <c r="C119" s="24" t="s">
        <v>140</v>
      </c>
      <c r="D119" s="7" t="s">
        <v>207</v>
      </c>
      <c r="E119" s="221"/>
      <c r="F119" s="224"/>
      <c r="H119" s="24" t="s">
        <v>140</v>
      </c>
      <c r="I119" s="7" t="s">
        <v>207</v>
      </c>
      <c r="J119" s="221"/>
      <c r="K119" s="224"/>
    </row>
    <row r="120" spans="3:11" x14ac:dyDescent="0.25">
      <c r="C120" s="229" t="s">
        <v>141</v>
      </c>
      <c r="D120" s="230"/>
      <c r="E120" s="231"/>
      <c r="F120" s="22">
        <f>SUM(F114,F115,F117,F118,F119)</f>
        <v>2445.0284020092249</v>
      </c>
      <c r="H120" s="229" t="s">
        <v>140</v>
      </c>
      <c r="I120" s="230"/>
      <c r="J120" s="231"/>
      <c r="K120" s="22">
        <f>SUM(K114,K115,K117,K118,K119)</f>
        <v>2137.7292764294698</v>
      </c>
    </row>
    <row r="121" spans="3:11" x14ac:dyDescent="0.25">
      <c r="C121" s="193"/>
      <c r="D121" s="194"/>
      <c r="E121" s="194"/>
      <c r="F121" s="195"/>
      <c r="H121" s="193"/>
      <c r="I121" s="194"/>
      <c r="J121" s="194"/>
      <c r="K121" s="195"/>
    </row>
    <row r="122" spans="3:11" x14ac:dyDescent="0.25">
      <c r="C122" s="232" t="s">
        <v>142</v>
      </c>
      <c r="D122" s="233"/>
      <c r="E122" s="234"/>
      <c r="F122" s="43" t="s">
        <v>65</v>
      </c>
      <c r="H122" s="232" t="s">
        <v>142</v>
      </c>
      <c r="I122" s="233"/>
      <c r="J122" s="234"/>
      <c r="K122" s="43" t="s">
        <v>65</v>
      </c>
    </row>
    <row r="123" spans="3:11" x14ac:dyDescent="0.25">
      <c r="C123" s="180" t="s">
        <v>143</v>
      </c>
      <c r="D123" s="181"/>
      <c r="E123" s="181"/>
      <c r="F123" s="182"/>
      <c r="H123" s="180" t="s">
        <v>143</v>
      </c>
      <c r="I123" s="181"/>
      <c r="J123" s="181"/>
      <c r="K123" s="182"/>
    </row>
    <row r="124" spans="3:11" x14ac:dyDescent="0.25">
      <c r="C124" s="6" t="s">
        <v>66</v>
      </c>
      <c r="D124" s="183" t="s">
        <v>144</v>
      </c>
      <c r="E124" s="184"/>
      <c r="F124" s="20">
        <f>F35</f>
        <v>5209.1260000000002</v>
      </c>
      <c r="H124" s="6" t="s">
        <v>66</v>
      </c>
      <c r="I124" s="183" t="s">
        <v>144</v>
      </c>
      <c r="J124" s="184"/>
      <c r="K124" s="20">
        <f>K35</f>
        <v>5209.1260000000002</v>
      </c>
    </row>
    <row r="125" spans="3:11" x14ac:dyDescent="0.25">
      <c r="C125" s="6" t="s">
        <v>39</v>
      </c>
      <c r="D125" s="183" t="s">
        <v>145</v>
      </c>
      <c r="E125" s="184"/>
      <c r="F125" s="20">
        <f>F67</f>
        <v>4022.3298840000002</v>
      </c>
      <c r="H125" s="6" t="s">
        <v>39</v>
      </c>
      <c r="I125" s="183" t="s">
        <v>145</v>
      </c>
      <c r="J125" s="184"/>
      <c r="K125" s="20">
        <f>K67</f>
        <v>2777.927561777778</v>
      </c>
    </row>
    <row r="126" spans="3:11" x14ac:dyDescent="0.25">
      <c r="C126" s="6" t="s">
        <v>42</v>
      </c>
      <c r="D126" s="183" t="s">
        <v>146</v>
      </c>
      <c r="E126" s="184"/>
      <c r="F126" s="20">
        <f>F78</f>
        <v>328.88337913600003</v>
      </c>
      <c r="H126" s="6" t="s">
        <v>42</v>
      </c>
      <c r="I126" s="183" t="s">
        <v>146</v>
      </c>
      <c r="J126" s="184"/>
      <c r="K126" s="20">
        <f>K78</f>
        <v>328.88337913600003</v>
      </c>
    </row>
    <row r="127" spans="3:11" x14ac:dyDescent="0.25">
      <c r="C127" s="6" t="s">
        <v>44</v>
      </c>
      <c r="D127" s="183" t="s">
        <v>147</v>
      </c>
      <c r="E127" s="184"/>
      <c r="F127" s="20">
        <f>F98</f>
        <v>178.59793566153485</v>
      </c>
      <c r="H127" s="6" t="s">
        <v>44</v>
      </c>
      <c r="I127" s="183" t="s">
        <v>147</v>
      </c>
      <c r="J127" s="184"/>
      <c r="K127" s="20">
        <f>K98</f>
        <v>178.59793566153485</v>
      </c>
    </row>
    <row r="128" spans="3:11" x14ac:dyDescent="0.25">
      <c r="C128" s="6" t="s">
        <v>47</v>
      </c>
      <c r="D128" s="183" t="s">
        <v>148</v>
      </c>
      <c r="E128" s="184"/>
      <c r="F128" s="20">
        <f>F107</f>
        <v>162.16165925925927</v>
      </c>
      <c r="H128" s="6" t="s">
        <v>47</v>
      </c>
      <c r="I128" s="183" t="s">
        <v>148</v>
      </c>
      <c r="J128" s="184"/>
      <c r="K128" s="20">
        <f>K107</f>
        <v>162.16165925925927</v>
      </c>
    </row>
    <row r="129" spans="3:11" x14ac:dyDescent="0.25">
      <c r="C129" s="235" t="s">
        <v>149</v>
      </c>
      <c r="D129" s="236"/>
      <c r="E129" s="237"/>
      <c r="F129" s="20">
        <f>SUM(F124:F128)</f>
        <v>9901.0988580567955</v>
      </c>
      <c r="H129" s="235" t="s">
        <v>149</v>
      </c>
      <c r="I129" s="236"/>
      <c r="J129" s="237"/>
      <c r="K129" s="20">
        <f>SUM(K124:K128)</f>
        <v>8656.6965358345733</v>
      </c>
    </row>
    <row r="130" spans="3:11" x14ac:dyDescent="0.25">
      <c r="C130" s="6" t="s">
        <v>150</v>
      </c>
      <c r="D130" s="183" t="s">
        <v>151</v>
      </c>
      <c r="E130" s="184"/>
      <c r="F130" s="20">
        <f>F120</f>
        <v>2445.0284020092249</v>
      </c>
      <c r="H130" s="6" t="s">
        <v>150</v>
      </c>
      <c r="I130" s="183" t="s">
        <v>151</v>
      </c>
      <c r="J130" s="184"/>
      <c r="K130" s="20">
        <f>K120</f>
        <v>2137.7292764294698</v>
      </c>
    </row>
    <row r="131" spans="3:11" x14ac:dyDescent="0.25">
      <c r="C131" s="199" t="s">
        <v>152</v>
      </c>
      <c r="D131" s="201"/>
      <c r="E131" s="200"/>
      <c r="F131" s="42">
        <f>F129+F130</f>
        <v>12346.12726006602</v>
      </c>
      <c r="H131" s="199" t="s">
        <v>152</v>
      </c>
      <c r="I131" s="201"/>
      <c r="J131" s="200"/>
      <c r="K131" s="42">
        <f>K129+K130</f>
        <v>10794.425812264042</v>
      </c>
    </row>
    <row r="132" spans="3:11" x14ac:dyDescent="0.25">
      <c r="C132" s="199" t="s">
        <v>1084</v>
      </c>
      <c r="D132" s="201"/>
      <c r="E132" s="200"/>
      <c r="F132" s="42">
        <f>F131/220</f>
        <v>56.118760273027362</v>
      </c>
      <c r="H132" s="199" t="s">
        <v>1084</v>
      </c>
      <c r="I132" s="201"/>
      <c r="J132" s="200"/>
      <c r="K132" s="42">
        <f>K131/220</f>
        <v>49.065571873927468</v>
      </c>
    </row>
  </sheetData>
  <mergeCells count="164">
    <mergeCell ref="H131:J131"/>
    <mergeCell ref="C132:E132"/>
    <mergeCell ref="H132:J132"/>
    <mergeCell ref="I126:J126"/>
    <mergeCell ref="I127:J127"/>
    <mergeCell ref="I128:J128"/>
    <mergeCell ref="H129:J129"/>
    <mergeCell ref="I130:J130"/>
    <mergeCell ref="H121:K121"/>
    <mergeCell ref="H122:J122"/>
    <mergeCell ref="H123:K123"/>
    <mergeCell ref="I124:J124"/>
    <mergeCell ref="I125:J125"/>
    <mergeCell ref="C122:E122"/>
    <mergeCell ref="H112:K112"/>
    <mergeCell ref="I116:K116"/>
    <mergeCell ref="J117:J119"/>
    <mergeCell ref="K117:K119"/>
    <mergeCell ref="H120:J120"/>
    <mergeCell ref="H107:J107"/>
    <mergeCell ref="H108:K108"/>
    <mergeCell ref="H109:J109"/>
    <mergeCell ref="H110:K110"/>
    <mergeCell ref="H111:K111"/>
    <mergeCell ref="H101:K101"/>
    <mergeCell ref="I102:J102"/>
    <mergeCell ref="I103:J103"/>
    <mergeCell ref="I105:J105"/>
    <mergeCell ref="I106:J106"/>
    <mergeCell ref="I96:J96"/>
    <mergeCell ref="I97:J97"/>
    <mergeCell ref="H98:J98"/>
    <mergeCell ref="H99:K99"/>
    <mergeCell ref="H100:K100"/>
    <mergeCell ref="H89:J89"/>
    <mergeCell ref="H90:K90"/>
    <mergeCell ref="H93:I93"/>
    <mergeCell ref="H94:K94"/>
    <mergeCell ref="H95:J95"/>
    <mergeCell ref="H70:K70"/>
    <mergeCell ref="H78:J78"/>
    <mergeCell ref="H79:K79"/>
    <mergeCell ref="H80:K80"/>
    <mergeCell ref="H81:K81"/>
    <mergeCell ref="I65:J65"/>
    <mergeCell ref="I66:J66"/>
    <mergeCell ref="H67:J67"/>
    <mergeCell ref="H68:K68"/>
    <mergeCell ref="H69:K69"/>
    <mergeCell ref="H54:K54"/>
    <mergeCell ref="H61:J61"/>
    <mergeCell ref="H62:K62"/>
    <mergeCell ref="H63:J63"/>
    <mergeCell ref="I64:J64"/>
    <mergeCell ref="H37:K37"/>
    <mergeCell ref="H38:K38"/>
    <mergeCell ref="H42:J42"/>
    <mergeCell ref="H43:K43"/>
    <mergeCell ref="H53:I53"/>
    <mergeCell ref="H25:K25"/>
    <mergeCell ref="H26:K26"/>
    <mergeCell ref="I27:J27"/>
    <mergeCell ref="H35:J35"/>
    <mergeCell ref="H36:K36"/>
    <mergeCell ref="H20:K20"/>
    <mergeCell ref="I21:J21"/>
    <mergeCell ref="I22:J22"/>
    <mergeCell ref="I23:J23"/>
    <mergeCell ref="H24:K24"/>
    <mergeCell ref="H15:K15"/>
    <mergeCell ref="H16:K16"/>
    <mergeCell ref="J17:K17"/>
    <mergeCell ref="J18:K18"/>
    <mergeCell ref="J19:K19"/>
    <mergeCell ref="J10:K10"/>
    <mergeCell ref="J11:K11"/>
    <mergeCell ref="J12:K12"/>
    <mergeCell ref="J13:K13"/>
    <mergeCell ref="H14:K14"/>
    <mergeCell ref="H4:K4"/>
    <mergeCell ref="H5:K5"/>
    <mergeCell ref="H6:K6"/>
    <mergeCell ref="J7:K7"/>
    <mergeCell ref="J8:K8"/>
    <mergeCell ref="C16:F16"/>
    <mergeCell ref="C4:F4"/>
    <mergeCell ref="C5:F5"/>
    <mergeCell ref="C6:F6"/>
    <mergeCell ref="E7:F7"/>
    <mergeCell ref="E8:F8"/>
    <mergeCell ref="E10:F10"/>
    <mergeCell ref="E11:F11"/>
    <mergeCell ref="E12:F12"/>
    <mergeCell ref="E13:F13"/>
    <mergeCell ref="C14:F14"/>
    <mergeCell ref="C15:F15"/>
    <mergeCell ref="C35:E35"/>
    <mergeCell ref="E17:F17"/>
    <mergeCell ref="E18:F18"/>
    <mergeCell ref="E19:F19"/>
    <mergeCell ref="C20:F20"/>
    <mergeCell ref="D21:E21"/>
    <mergeCell ref="D22:E22"/>
    <mergeCell ref="D23:E23"/>
    <mergeCell ref="C24:F24"/>
    <mergeCell ref="C25:F25"/>
    <mergeCell ref="C26:F26"/>
    <mergeCell ref="D27:E27"/>
    <mergeCell ref="D65:E65"/>
    <mergeCell ref="C36:F36"/>
    <mergeCell ref="C37:F37"/>
    <mergeCell ref="C38:F38"/>
    <mergeCell ref="C42:E42"/>
    <mergeCell ref="C43:F43"/>
    <mergeCell ref="C53:D53"/>
    <mergeCell ref="C54:F54"/>
    <mergeCell ref="C61:E61"/>
    <mergeCell ref="C62:F62"/>
    <mergeCell ref="C63:E63"/>
    <mergeCell ref="D64:E64"/>
    <mergeCell ref="C93:D93"/>
    <mergeCell ref="D66:E66"/>
    <mergeCell ref="C67:E67"/>
    <mergeCell ref="C68:F68"/>
    <mergeCell ref="C69:F69"/>
    <mergeCell ref="C70:F70"/>
    <mergeCell ref="C78:E78"/>
    <mergeCell ref="C79:F79"/>
    <mergeCell ref="C80:F80"/>
    <mergeCell ref="C81:F81"/>
    <mergeCell ref="C89:E89"/>
    <mergeCell ref="C90:F90"/>
    <mergeCell ref="D106:E106"/>
    <mergeCell ref="C94:F94"/>
    <mergeCell ref="C95:E95"/>
    <mergeCell ref="D96:E96"/>
    <mergeCell ref="D97:E97"/>
    <mergeCell ref="C98:E98"/>
    <mergeCell ref="C99:F99"/>
    <mergeCell ref="C100:F100"/>
    <mergeCell ref="C101:F101"/>
    <mergeCell ref="D102:E102"/>
    <mergeCell ref="D103:E103"/>
    <mergeCell ref="D105:E105"/>
    <mergeCell ref="C107:E107"/>
    <mergeCell ref="C108:F108"/>
    <mergeCell ref="C109:E109"/>
    <mergeCell ref="C110:F110"/>
    <mergeCell ref="C111:F111"/>
    <mergeCell ref="C112:F112"/>
    <mergeCell ref="D116:F116"/>
    <mergeCell ref="E117:E119"/>
    <mergeCell ref="F117:F119"/>
    <mergeCell ref="C120:E120"/>
    <mergeCell ref="C121:F121"/>
    <mergeCell ref="C129:E129"/>
    <mergeCell ref="D130:E130"/>
    <mergeCell ref="C131:E131"/>
    <mergeCell ref="C123:F123"/>
    <mergeCell ref="D124:E124"/>
    <mergeCell ref="D125:E125"/>
    <mergeCell ref="D126:E126"/>
    <mergeCell ref="D127:E127"/>
    <mergeCell ref="D128:E128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60B28-D66D-4334-B4BF-B2F53D846ACD}">
  <dimension ref="B4:K132"/>
  <sheetViews>
    <sheetView topLeftCell="A100" workbookViewId="0">
      <selection activeCell="F57" sqref="F57"/>
    </sheetView>
  </sheetViews>
  <sheetFormatPr defaultColWidth="9.140625" defaultRowHeight="15" x14ac:dyDescent="0.25"/>
  <cols>
    <col min="2" max="2" width="32.28515625" customWidth="1"/>
    <col min="4" max="4" width="57" bestFit="1" customWidth="1"/>
    <col min="5" max="5" width="15.85546875" customWidth="1"/>
    <col min="6" max="6" width="11.42578125" bestFit="1" customWidth="1"/>
    <col min="9" max="9" width="57" bestFit="1" customWidth="1"/>
    <col min="10" max="10" width="15.85546875" customWidth="1"/>
    <col min="11" max="11" width="11.42578125" bestFit="1" customWidth="1"/>
  </cols>
  <sheetData>
    <row r="4" spans="3:11" x14ac:dyDescent="0.25">
      <c r="C4" s="169" t="s">
        <v>221</v>
      </c>
      <c r="D4" s="169"/>
      <c r="E4" s="169"/>
      <c r="F4" s="169"/>
      <c r="H4" s="169" t="s">
        <v>221</v>
      </c>
      <c r="I4" s="169"/>
      <c r="J4" s="169"/>
      <c r="K4" s="169"/>
    </row>
    <row r="5" spans="3:11" x14ac:dyDescent="0.25">
      <c r="C5" s="170" t="s">
        <v>35</v>
      </c>
      <c r="D5" s="170"/>
      <c r="E5" s="170"/>
      <c r="F5" s="170"/>
      <c r="H5" s="170" t="s">
        <v>35</v>
      </c>
      <c r="I5" s="170"/>
      <c r="J5" s="170"/>
      <c r="K5" s="170"/>
    </row>
    <row r="6" spans="3:11" x14ac:dyDescent="0.25">
      <c r="C6" s="171" t="s">
        <v>36</v>
      </c>
      <c r="D6" s="171"/>
      <c r="E6" s="171"/>
      <c r="F6" s="171"/>
      <c r="H6" s="171" t="s">
        <v>36</v>
      </c>
      <c r="I6" s="171"/>
      <c r="J6" s="171"/>
      <c r="K6" s="171"/>
    </row>
    <row r="7" spans="3:11" x14ac:dyDescent="0.25">
      <c r="C7" s="6" t="s">
        <v>37</v>
      </c>
      <c r="D7" s="7" t="s">
        <v>38</v>
      </c>
      <c r="E7" s="172"/>
      <c r="F7" s="173"/>
      <c r="H7" s="6" t="s">
        <v>37</v>
      </c>
      <c r="I7" s="7" t="s">
        <v>38</v>
      </c>
      <c r="J7" s="172"/>
      <c r="K7" s="173"/>
    </row>
    <row r="8" spans="3:11" x14ac:dyDescent="0.25">
      <c r="C8" s="6" t="s">
        <v>39</v>
      </c>
      <c r="D8" s="7" t="s">
        <v>40</v>
      </c>
      <c r="E8" s="176" t="s">
        <v>41</v>
      </c>
      <c r="F8" s="176"/>
      <c r="H8" s="6" t="s">
        <v>39</v>
      </c>
      <c r="I8" s="7" t="s">
        <v>40</v>
      </c>
      <c r="J8" s="176" t="s">
        <v>41</v>
      </c>
      <c r="K8" s="176"/>
    </row>
    <row r="9" spans="3:11" x14ac:dyDescent="0.25">
      <c r="C9" s="8" t="s">
        <v>42</v>
      </c>
      <c r="D9" s="9" t="s">
        <v>43</v>
      </c>
      <c r="E9" s="45" t="s">
        <v>154</v>
      </c>
      <c r="F9" s="46">
        <v>2025</v>
      </c>
      <c r="H9" s="8" t="s">
        <v>42</v>
      </c>
      <c r="I9" s="9" t="s">
        <v>43</v>
      </c>
      <c r="J9" s="45" t="s">
        <v>154</v>
      </c>
      <c r="K9" s="46">
        <v>2025</v>
      </c>
    </row>
    <row r="10" spans="3:11" x14ac:dyDescent="0.25">
      <c r="C10" s="6" t="s">
        <v>44</v>
      </c>
      <c r="D10" s="7" t="s">
        <v>45</v>
      </c>
      <c r="E10" s="172" t="s">
        <v>46</v>
      </c>
      <c r="F10" s="173"/>
      <c r="H10" s="6" t="s">
        <v>44</v>
      </c>
      <c r="I10" s="7" t="s">
        <v>45</v>
      </c>
      <c r="J10" s="172" t="s">
        <v>46</v>
      </c>
      <c r="K10" s="173"/>
    </row>
    <row r="11" spans="3:11" x14ac:dyDescent="0.25">
      <c r="C11" s="6" t="s">
        <v>47</v>
      </c>
      <c r="D11" s="7" t="s">
        <v>48</v>
      </c>
      <c r="E11" s="172" t="s">
        <v>49</v>
      </c>
      <c r="F11" s="173"/>
      <c r="H11" s="6" t="s">
        <v>47</v>
      </c>
      <c r="I11" s="7" t="s">
        <v>48</v>
      </c>
      <c r="J11" s="172" t="s">
        <v>49</v>
      </c>
      <c r="K11" s="173"/>
    </row>
    <row r="12" spans="3:11" x14ac:dyDescent="0.25">
      <c r="C12" s="6" t="s">
        <v>50</v>
      </c>
      <c r="D12" s="7" t="s">
        <v>51</v>
      </c>
      <c r="E12" s="174" t="s">
        <v>218</v>
      </c>
      <c r="F12" s="175"/>
      <c r="H12" s="6" t="s">
        <v>50</v>
      </c>
      <c r="I12" s="7" t="s">
        <v>51</v>
      </c>
      <c r="J12" s="174" t="s">
        <v>218</v>
      </c>
      <c r="K12" s="175"/>
    </row>
    <row r="13" spans="3:11" x14ac:dyDescent="0.25">
      <c r="C13" s="6" t="s">
        <v>52</v>
      </c>
      <c r="D13" s="7" t="s">
        <v>53</v>
      </c>
      <c r="E13" s="172">
        <v>1</v>
      </c>
      <c r="F13" s="173"/>
      <c r="H13" s="6" t="s">
        <v>52</v>
      </c>
      <c r="I13" s="7" t="s">
        <v>53</v>
      </c>
      <c r="J13" s="172">
        <v>1</v>
      </c>
      <c r="K13" s="173"/>
    </row>
    <row r="14" spans="3:11" x14ac:dyDescent="0.25">
      <c r="C14" s="179" t="s">
        <v>221</v>
      </c>
      <c r="D14" s="179"/>
      <c r="E14" s="179"/>
      <c r="F14" s="179"/>
      <c r="H14" s="179" t="s">
        <v>221</v>
      </c>
      <c r="I14" s="179"/>
      <c r="J14" s="179"/>
      <c r="K14" s="179"/>
    </row>
    <row r="15" spans="3:11" x14ac:dyDescent="0.25">
      <c r="C15" s="180" t="s">
        <v>54</v>
      </c>
      <c r="D15" s="181"/>
      <c r="E15" s="181"/>
      <c r="F15" s="182"/>
      <c r="H15" s="180" t="s">
        <v>54</v>
      </c>
      <c r="I15" s="181"/>
      <c r="J15" s="181"/>
      <c r="K15" s="182"/>
    </row>
    <row r="16" spans="3:11" x14ac:dyDescent="0.25">
      <c r="C16" s="176" t="s">
        <v>55</v>
      </c>
      <c r="D16" s="176"/>
      <c r="E16" s="176"/>
      <c r="F16" s="176"/>
      <c r="H16" s="176" t="s">
        <v>55</v>
      </c>
      <c r="I16" s="176"/>
      <c r="J16" s="176"/>
      <c r="K16" s="176"/>
    </row>
    <row r="17" spans="3:11" x14ac:dyDescent="0.25">
      <c r="C17" s="6">
        <v>1</v>
      </c>
      <c r="D17" s="7" t="s">
        <v>56</v>
      </c>
      <c r="E17" s="172" t="s">
        <v>222</v>
      </c>
      <c r="F17" s="173" t="s">
        <v>57</v>
      </c>
      <c r="H17" s="6">
        <v>1</v>
      </c>
      <c r="I17" s="7" t="s">
        <v>56</v>
      </c>
      <c r="J17" s="172" t="s">
        <v>222</v>
      </c>
      <c r="K17" s="173" t="s">
        <v>57</v>
      </c>
    </row>
    <row r="18" spans="3:11" x14ac:dyDescent="0.25">
      <c r="C18" s="6"/>
      <c r="D18" s="10" t="s">
        <v>194</v>
      </c>
      <c r="E18" s="172">
        <v>1</v>
      </c>
      <c r="F18" s="173">
        <v>1</v>
      </c>
      <c r="H18" s="6"/>
      <c r="I18" s="10" t="s">
        <v>194</v>
      </c>
      <c r="J18" s="172">
        <v>1</v>
      </c>
      <c r="K18" s="173">
        <v>1</v>
      </c>
    </row>
    <row r="19" spans="3:11" ht="39" customHeight="1" x14ac:dyDescent="0.25">
      <c r="C19" s="6">
        <v>2</v>
      </c>
      <c r="D19" s="11" t="s">
        <v>58</v>
      </c>
      <c r="E19" s="177" t="s">
        <v>223</v>
      </c>
      <c r="F19" s="178"/>
      <c r="H19" s="6">
        <v>2</v>
      </c>
      <c r="I19" s="11" t="s">
        <v>58</v>
      </c>
      <c r="J19" s="177" t="s">
        <v>223</v>
      </c>
      <c r="K19" s="178"/>
    </row>
    <row r="20" spans="3:11" x14ac:dyDescent="0.25">
      <c r="C20" s="176" t="s">
        <v>59</v>
      </c>
      <c r="D20" s="176"/>
      <c r="E20" s="176"/>
      <c r="F20" s="176"/>
      <c r="H20" s="176" t="s">
        <v>59</v>
      </c>
      <c r="I20" s="176"/>
      <c r="J20" s="176"/>
      <c r="K20" s="176"/>
    </row>
    <row r="21" spans="3:11" x14ac:dyDescent="0.25">
      <c r="C21" s="6">
        <v>3</v>
      </c>
      <c r="D21" s="183" t="s">
        <v>1158</v>
      </c>
      <c r="E21" s="184"/>
      <c r="F21" s="31">
        <v>2963.84</v>
      </c>
      <c r="H21" s="6">
        <v>3</v>
      </c>
      <c r="I21" s="183" t="s">
        <v>1158</v>
      </c>
      <c r="J21" s="184"/>
      <c r="K21" s="31">
        <v>2963.84</v>
      </c>
    </row>
    <row r="22" spans="3:11" x14ac:dyDescent="0.25">
      <c r="C22" s="6">
        <v>4</v>
      </c>
      <c r="D22" s="183" t="s">
        <v>61</v>
      </c>
      <c r="E22" s="184"/>
      <c r="F22" s="32" t="s">
        <v>154</v>
      </c>
      <c r="H22" s="6">
        <v>4</v>
      </c>
      <c r="I22" s="183" t="s">
        <v>61</v>
      </c>
      <c r="J22" s="184"/>
      <c r="K22" s="32" t="s">
        <v>154</v>
      </c>
    </row>
    <row r="23" spans="3:11" x14ac:dyDescent="0.25">
      <c r="C23" s="6">
        <v>5</v>
      </c>
      <c r="D23" s="183" t="s">
        <v>62</v>
      </c>
      <c r="E23" s="184"/>
      <c r="F23" s="33">
        <v>45658</v>
      </c>
      <c r="H23" s="6">
        <v>5</v>
      </c>
      <c r="I23" s="183" t="s">
        <v>62</v>
      </c>
      <c r="J23" s="184"/>
      <c r="K23" s="33">
        <v>45658</v>
      </c>
    </row>
    <row r="24" spans="3:11" x14ac:dyDescent="0.25">
      <c r="C24" s="172"/>
      <c r="D24" s="185"/>
      <c r="E24" s="185"/>
      <c r="F24" s="173"/>
      <c r="H24" s="172"/>
      <c r="I24" s="185"/>
      <c r="J24" s="185"/>
      <c r="K24" s="173"/>
    </row>
    <row r="25" spans="3:11" x14ac:dyDescent="0.25">
      <c r="C25" s="186" t="s">
        <v>63</v>
      </c>
      <c r="D25" s="186"/>
      <c r="E25" s="186"/>
      <c r="F25" s="186"/>
      <c r="H25" s="186" t="s">
        <v>63</v>
      </c>
      <c r="I25" s="186"/>
      <c r="J25" s="186"/>
      <c r="K25" s="186"/>
    </row>
    <row r="26" spans="3:11" x14ac:dyDescent="0.25">
      <c r="C26" s="196"/>
      <c r="D26" s="197"/>
      <c r="E26" s="197"/>
      <c r="F26" s="198"/>
      <c r="H26" s="196"/>
      <c r="I26" s="197"/>
      <c r="J26" s="197"/>
      <c r="K26" s="198"/>
    </row>
    <row r="27" spans="3:11" x14ac:dyDescent="0.25">
      <c r="C27" s="12">
        <v>1</v>
      </c>
      <c r="D27" s="199" t="s">
        <v>64</v>
      </c>
      <c r="E27" s="200"/>
      <c r="F27" s="12" t="s">
        <v>65</v>
      </c>
      <c r="H27" s="12">
        <v>1</v>
      </c>
      <c r="I27" s="199" t="s">
        <v>64</v>
      </c>
      <c r="J27" s="200"/>
      <c r="K27" s="12" t="s">
        <v>65</v>
      </c>
    </row>
    <row r="28" spans="3:11" x14ac:dyDescent="0.25">
      <c r="C28" s="6" t="s">
        <v>66</v>
      </c>
      <c r="D28" s="7" t="s">
        <v>67</v>
      </c>
      <c r="E28" s="34">
        <v>1</v>
      </c>
      <c r="F28" s="47">
        <f>F21</f>
        <v>2963.84</v>
      </c>
      <c r="H28" s="6" t="s">
        <v>66</v>
      </c>
      <c r="I28" s="7" t="s">
        <v>67</v>
      </c>
      <c r="J28" s="34">
        <v>1</v>
      </c>
      <c r="K28" s="47">
        <f>K21</f>
        <v>2963.84</v>
      </c>
    </row>
    <row r="29" spans="3:11" x14ac:dyDescent="0.25">
      <c r="C29" s="6" t="s">
        <v>39</v>
      </c>
      <c r="D29" s="7" t="s">
        <v>1157</v>
      </c>
      <c r="E29" s="14">
        <v>0.3</v>
      </c>
      <c r="F29" s="15">
        <f>F28*E29</f>
        <v>889.15200000000004</v>
      </c>
      <c r="H29" s="6" t="s">
        <v>39</v>
      </c>
      <c r="I29" s="7" t="s">
        <v>1157</v>
      </c>
      <c r="J29" s="14">
        <v>0.3</v>
      </c>
      <c r="K29" s="15">
        <f>K28*J29</f>
        <v>889.15200000000004</v>
      </c>
    </row>
    <row r="30" spans="3:11" x14ac:dyDescent="0.25">
      <c r="C30" s="6" t="s">
        <v>42</v>
      </c>
      <c r="D30" s="7" t="s">
        <v>69</v>
      </c>
      <c r="E30" s="14">
        <v>0</v>
      </c>
      <c r="F30" s="16">
        <v>0</v>
      </c>
      <c r="H30" s="6" t="s">
        <v>42</v>
      </c>
      <c r="I30" s="7" t="s">
        <v>69</v>
      </c>
      <c r="J30" s="14">
        <v>0</v>
      </c>
      <c r="K30" s="16">
        <v>0</v>
      </c>
    </row>
    <row r="31" spans="3:11" x14ac:dyDescent="0.25">
      <c r="C31" s="6" t="s">
        <v>44</v>
      </c>
      <c r="D31" s="7" t="s">
        <v>70</v>
      </c>
      <c r="E31" s="14">
        <v>0</v>
      </c>
      <c r="F31" s="16">
        <v>0</v>
      </c>
      <c r="H31" s="6" t="s">
        <v>44</v>
      </c>
      <c r="I31" s="7" t="s">
        <v>70</v>
      </c>
      <c r="J31" s="14">
        <v>0</v>
      </c>
      <c r="K31" s="16">
        <v>0</v>
      </c>
    </row>
    <row r="32" spans="3:11" x14ac:dyDescent="0.25">
      <c r="C32" s="6" t="s">
        <v>47</v>
      </c>
      <c r="D32" s="7" t="s">
        <v>71</v>
      </c>
      <c r="E32" s="14">
        <v>0</v>
      </c>
      <c r="F32" s="16">
        <v>0</v>
      </c>
      <c r="H32" s="6" t="s">
        <v>47</v>
      </c>
      <c r="I32" s="7" t="s">
        <v>71</v>
      </c>
      <c r="J32" s="14">
        <v>0</v>
      </c>
      <c r="K32" s="16">
        <v>0</v>
      </c>
    </row>
    <row r="33" spans="3:11" x14ac:dyDescent="0.25">
      <c r="C33" s="6" t="s">
        <v>50</v>
      </c>
      <c r="D33" s="7" t="s">
        <v>1156</v>
      </c>
      <c r="E33" s="34">
        <v>1</v>
      </c>
      <c r="F33" s="53">
        <v>50.31</v>
      </c>
      <c r="H33" s="6" t="s">
        <v>50</v>
      </c>
      <c r="I33" s="7" t="s">
        <v>1156</v>
      </c>
      <c r="J33" s="34">
        <v>1</v>
      </c>
      <c r="K33" s="53">
        <v>50.31</v>
      </c>
    </row>
    <row r="34" spans="3:11" x14ac:dyDescent="0.25">
      <c r="C34" s="6" t="s">
        <v>52</v>
      </c>
      <c r="D34" s="7" t="s">
        <v>72</v>
      </c>
      <c r="E34" s="14">
        <v>0</v>
      </c>
      <c r="F34" s="16">
        <v>0</v>
      </c>
      <c r="H34" s="6" t="s">
        <v>52</v>
      </c>
      <c r="I34" s="7" t="s">
        <v>72</v>
      </c>
      <c r="J34" s="14">
        <v>0</v>
      </c>
      <c r="K34" s="16">
        <v>0</v>
      </c>
    </row>
    <row r="35" spans="3:11" x14ac:dyDescent="0.25">
      <c r="C35" s="199" t="s">
        <v>73</v>
      </c>
      <c r="D35" s="201"/>
      <c r="E35" s="200"/>
      <c r="F35" s="17">
        <f>SUM(F28:F34)</f>
        <v>3903.3020000000001</v>
      </c>
      <c r="H35" s="199" t="s">
        <v>73</v>
      </c>
      <c r="I35" s="201"/>
      <c r="J35" s="200"/>
      <c r="K35" s="17">
        <f>SUM(K28:K34)</f>
        <v>3903.3020000000001</v>
      </c>
    </row>
    <row r="36" spans="3:11" x14ac:dyDescent="0.25">
      <c r="C36" s="189"/>
      <c r="D36" s="189"/>
      <c r="E36" s="189"/>
      <c r="F36" s="189"/>
      <c r="H36" s="189"/>
      <c r="I36" s="189"/>
      <c r="J36" s="189"/>
      <c r="K36" s="189"/>
    </row>
    <row r="37" spans="3:11" x14ac:dyDescent="0.25">
      <c r="C37" s="190" t="s">
        <v>74</v>
      </c>
      <c r="D37" s="191"/>
      <c r="E37" s="191"/>
      <c r="F37" s="192"/>
      <c r="H37" s="190" t="s">
        <v>74</v>
      </c>
      <c r="I37" s="191"/>
      <c r="J37" s="191"/>
      <c r="K37" s="192"/>
    </row>
    <row r="38" spans="3:11" x14ac:dyDescent="0.25">
      <c r="C38" s="193"/>
      <c r="D38" s="194"/>
      <c r="E38" s="194"/>
      <c r="F38" s="195"/>
      <c r="H38" s="193"/>
      <c r="I38" s="194"/>
      <c r="J38" s="194"/>
      <c r="K38" s="195"/>
    </row>
    <row r="39" spans="3:11" x14ac:dyDescent="0.25">
      <c r="C39" s="18" t="s">
        <v>75</v>
      </c>
      <c r="D39" s="19" t="s">
        <v>76</v>
      </c>
      <c r="E39" s="18" t="s">
        <v>77</v>
      </c>
      <c r="F39" s="18" t="s">
        <v>65</v>
      </c>
      <c r="H39" s="18" t="s">
        <v>75</v>
      </c>
      <c r="I39" s="19" t="s">
        <v>76</v>
      </c>
      <c r="J39" s="18" t="s">
        <v>77</v>
      </c>
      <c r="K39" s="18" t="s">
        <v>65</v>
      </c>
    </row>
    <row r="40" spans="3:11" x14ac:dyDescent="0.25">
      <c r="C40" s="20" t="s">
        <v>66</v>
      </c>
      <c r="D40" s="21" t="s">
        <v>78</v>
      </c>
      <c r="E40" s="44">
        <f>1/12</f>
        <v>8.3333333333333329E-2</v>
      </c>
      <c r="F40" s="20">
        <f>F35*E40</f>
        <v>325.27516666666668</v>
      </c>
      <c r="H40" s="20" t="s">
        <v>66</v>
      </c>
      <c r="I40" s="21" t="s">
        <v>78</v>
      </c>
      <c r="J40" s="44">
        <f>1/12</f>
        <v>8.3333333333333329E-2</v>
      </c>
      <c r="K40" s="20">
        <f>K35*J40</f>
        <v>325.27516666666668</v>
      </c>
    </row>
    <row r="41" spans="3:11" x14ac:dyDescent="0.25">
      <c r="C41" s="20" t="s">
        <v>39</v>
      </c>
      <c r="D41" s="21" t="s">
        <v>79</v>
      </c>
      <c r="E41" s="28">
        <f>(1/12)+(1/(12*3))</f>
        <v>0.1111111111111111</v>
      </c>
      <c r="F41" s="20">
        <f>E41*F35</f>
        <v>433.70022222222224</v>
      </c>
      <c r="H41" s="20" t="s">
        <v>39</v>
      </c>
      <c r="I41" s="21" t="s">
        <v>79</v>
      </c>
      <c r="J41" s="28">
        <f>(1/12)+(1/(12*3))</f>
        <v>0.1111111111111111</v>
      </c>
      <c r="K41" s="20">
        <f>J41*K35</f>
        <v>433.70022222222224</v>
      </c>
    </row>
    <row r="42" spans="3:11" x14ac:dyDescent="0.25">
      <c r="C42" s="205" t="s">
        <v>80</v>
      </c>
      <c r="D42" s="206"/>
      <c r="E42" s="207"/>
      <c r="F42" s="22">
        <f>SUM(F40:F41)</f>
        <v>758.97538888888892</v>
      </c>
      <c r="H42" s="205" t="s">
        <v>80</v>
      </c>
      <c r="I42" s="206"/>
      <c r="J42" s="207"/>
      <c r="K42" s="22">
        <f>SUM(K40:K41)</f>
        <v>758.97538888888892</v>
      </c>
    </row>
    <row r="43" spans="3:11" x14ac:dyDescent="0.25">
      <c r="C43" s="193"/>
      <c r="D43" s="194"/>
      <c r="E43" s="194"/>
      <c r="F43" s="195"/>
      <c r="H43" s="193"/>
      <c r="I43" s="194"/>
      <c r="J43" s="194"/>
      <c r="K43" s="195"/>
    </row>
    <row r="44" spans="3:11" x14ac:dyDescent="0.25">
      <c r="C44" s="22" t="s">
        <v>81</v>
      </c>
      <c r="D44" s="23" t="s">
        <v>82</v>
      </c>
      <c r="E44" s="22" t="s">
        <v>77</v>
      </c>
      <c r="F44" s="22" t="s">
        <v>65</v>
      </c>
      <c r="H44" s="22" t="s">
        <v>81</v>
      </c>
      <c r="I44" s="23" t="s">
        <v>82</v>
      </c>
      <c r="J44" s="22" t="s">
        <v>77</v>
      </c>
      <c r="K44" s="22" t="s">
        <v>65</v>
      </c>
    </row>
    <row r="45" spans="3:11" x14ac:dyDescent="0.25">
      <c r="C45" s="24" t="s">
        <v>66</v>
      </c>
      <c r="D45" s="25" t="s">
        <v>83</v>
      </c>
      <c r="E45" s="35">
        <f>2/10</f>
        <v>0.2</v>
      </c>
      <c r="F45" s="20">
        <f>E45*($F$35+$F$42)</f>
        <v>932.45547777777779</v>
      </c>
      <c r="H45" s="24" t="s">
        <v>66</v>
      </c>
      <c r="I45" s="25" t="s">
        <v>83</v>
      </c>
      <c r="J45" s="35">
        <v>0</v>
      </c>
      <c r="K45" s="20">
        <f>J45*($F$35+$F$42)</f>
        <v>0</v>
      </c>
    </row>
    <row r="46" spans="3:11" x14ac:dyDescent="0.25">
      <c r="C46" s="24" t="s">
        <v>39</v>
      </c>
      <c r="D46" s="25" t="s">
        <v>84</v>
      </c>
      <c r="E46" s="35">
        <f>2.5/100</f>
        <v>2.5000000000000001E-2</v>
      </c>
      <c r="F46" s="20">
        <f t="shared" ref="F46:F52" si="0">E46*($F$35+$F$42)</f>
        <v>116.55693472222222</v>
      </c>
      <c r="H46" s="24" t="s">
        <v>39</v>
      </c>
      <c r="I46" s="25" t="s">
        <v>84</v>
      </c>
      <c r="J46" s="35">
        <f>2.5/100</f>
        <v>2.5000000000000001E-2</v>
      </c>
      <c r="K46" s="20">
        <f t="shared" ref="K46:K52" si="1">J46*($F$35+$F$42)</f>
        <v>116.55693472222222</v>
      </c>
    </row>
    <row r="47" spans="3:11" x14ac:dyDescent="0.25">
      <c r="C47" s="24" t="s">
        <v>42</v>
      </c>
      <c r="D47" s="25" t="s">
        <v>85</v>
      </c>
      <c r="E47" s="35">
        <f>3/100</f>
        <v>0.03</v>
      </c>
      <c r="F47" s="20">
        <f t="shared" si="0"/>
        <v>139.86832166666665</v>
      </c>
      <c r="H47" s="24" t="s">
        <v>42</v>
      </c>
      <c r="I47" s="25" t="s">
        <v>85</v>
      </c>
      <c r="J47" s="35">
        <f>3/100</f>
        <v>0.03</v>
      </c>
      <c r="K47" s="20">
        <f t="shared" si="1"/>
        <v>139.86832166666665</v>
      </c>
    </row>
    <row r="48" spans="3:11" x14ac:dyDescent="0.25">
      <c r="C48" s="24" t="s">
        <v>44</v>
      </c>
      <c r="D48" s="25" t="s">
        <v>86</v>
      </c>
      <c r="E48" s="35">
        <f>1.5/100</f>
        <v>1.4999999999999999E-2</v>
      </c>
      <c r="F48" s="20">
        <f t="shared" si="0"/>
        <v>69.934160833333323</v>
      </c>
      <c r="H48" s="24" t="s">
        <v>44</v>
      </c>
      <c r="I48" s="25" t="s">
        <v>86</v>
      </c>
      <c r="J48" s="35">
        <f>1.5/100</f>
        <v>1.4999999999999999E-2</v>
      </c>
      <c r="K48" s="20">
        <f t="shared" si="1"/>
        <v>69.934160833333323</v>
      </c>
    </row>
    <row r="49" spans="3:11" x14ac:dyDescent="0.25">
      <c r="C49" s="24" t="s">
        <v>47</v>
      </c>
      <c r="D49" s="25" t="s">
        <v>87</v>
      </c>
      <c r="E49" s="35">
        <f>1/100</f>
        <v>0.01</v>
      </c>
      <c r="F49" s="20">
        <f t="shared" si="0"/>
        <v>46.622773888888887</v>
      </c>
      <c r="H49" s="24" t="s">
        <v>47</v>
      </c>
      <c r="I49" s="25" t="s">
        <v>87</v>
      </c>
      <c r="J49" s="35">
        <f>1/100</f>
        <v>0.01</v>
      </c>
      <c r="K49" s="20">
        <f t="shared" si="1"/>
        <v>46.622773888888887</v>
      </c>
    </row>
    <row r="50" spans="3:11" x14ac:dyDescent="0.25">
      <c r="C50" s="24" t="s">
        <v>50</v>
      </c>
      <c r="D50" s="25" t="s">
        <v>88</v>
      </c>
      <c r="E50" s="35">
        <f>0.6/100</f>
        <v>6.0000000000000001E-3</v>
      </c>
      <c r="F50" s="20">
        <f t="shared" si="0"/>
        <v>27.973664333333332</v>
      </c>
      <c r="H50" s="24" t="s">
        <v>50</v>
      </c>
      <c r="I50" s="25" t="s">
        <v>88</v>
      </c>
      <c r="J50" s="35">
        <f>0.6/100</f>
        <v>6.0000000000000001E-3</v>
      </c>
      <c r="K50" s="20">
        <f t="shared" si="1"/>
        <v>27.973664333333332</v>
      </c>
    </row>
    <row r="51" spans="3:11" x14ac:dyDescent="0.25">
      <c r="C51" s="24" t="s">
        <v>52</v>
      </c>
      <c r="D51" s="25" t="s">
        <v>89</v>
      </c>
      <c r="E51" s="35">
        <f>0.2/100</f>
        <v>2E-3</v>
      </c>
      <c r="F51" s="20">
        <f t="shared" si="0"/>
        <v>9.3245547777777773</v>
      </c>
      <c r="H51" s="24" t="s">
        <v>52</v>
      </c>
      <c r="I51" s="25" t="s">
        <v>89</v>
      </c>
      <c r="J51" s="35">
        <f>0.2/100</f>
        <v>2E-3</v>
      </c>
      <c r="K51" s="20">
        <f t="shared" si="1"/>
        <v>9.3245547777777773</v>
      </c>
    </row>
    <row r="52" spans="3:11" x14ac:dyDescent="0.25">
      <c r="C52" s="24" t="s">
        <v>90</v>
      </c>
      <c r="D52" s="25" t="s">
        <v>91</v>
      </c>
      <c r="E52" s="35">
        <f>8/100</f>
        <v>0.08</v>
      </c>
      <c r="F52" s="20">
        <f t="shared" si="0"/>
        <v>372.98219111111109</v>
      </c>
      <c r="H52" s="24" t="s">
        <v>90</v>
      </c>
      <c r="I52" s="25" t="s">
        <v>91</v>
      </c>
      <c r="J52" s="35">
        <f>8/100</f>
        <v>0.08</v>
      </c>
      <c r="K52" s="20">
        <f t="shared" si="1"/>
        <v>372.98219111111109</v>
      </c>
    </row>
    <row r="53" spans="3:11" x14ac:dyDescent="0.25">
      <c r="C53" s="202" t="s">
        <v>80</v>
      </c>
      <c r="D53" s="204"/>
      <c r="E53" s="36">
        <v>0.36800000000000005</v>
      </c>
      <c r="F53" s="22">
        <f>SUM(F45:F52)</f>
        <v>1715.7180791111109</v>
      </c>
      <c r="H53" s="202" t="s">
        <v>80</v>
      </c>
      <c r="I53" s="204"/>
      <c r="J53" s="36">
        <v>0.36800000000000005</v>
      </c>
      <c r="K53" s="22">
        <f>SUM(K45:K52)</f>
        <v>783.26260133333335</v>
      </c>
    </row>
    <row r="54" spans="3:11" x14ac:dyDescent="0.25">
      <c r="C54" s="193"/>
      <c r="D54" s="194"/>
      <c r="E54" s="194"/>
      <c r="F54" s="195"/>
      <c r="H54" s="193"/>
      <c r="I54" s="194"/>
      <c r="J54" s="194"/>
      <c r="K54" s="195"/>
    </row>
    <row r="55" spans="3:11" x14ac:dyDescent="0.25">
      <c r="C55" s="22" t="s">
        <v>92</v>
      </c>
      <c r="D55" s="23" t="s">
        <v>93</v>
      </c>
      <c r="E55" s="22" t="s">
        <v>94</v>
      </c>
      <c r="F55" s="22" t="s">
        <v>65</v>
      </c>
      <c r="H55" s="22" t="s">
        <v>92</v>
      </c>
      <c r="I55" s="23" t="s">
        <v>93</v>
      </c>
      <c r="J55" s="22" t="s">
        <v>94</v>
      </c>
      <c r="K55" s="22" t="s">
        <v>65</v>
      </c>
    </row>
    <row r="56" spans="3:11" x14ac:dyDescent="0.25">
      <c r="C56" s="24" t="s">
        <v>66</v>
      </c>
      <c r="D56" s="25" t="s">
        <v>197</v>
      </c>
      <c r="E56" s="37">
        <v>4.95</v>
      </c>
      <c r="F56" s="38">
        <f>(22*4.95*2)-(F28*0.06)</f>
        <v>39.969600000000014</v>
      </c>
      <c r="H56" s="24" t="s">
        <v>66</v>
      </c>
      <c r="I56" s="25" t="s">
        <v>197</v>
      </c>
      <c r="J56" s="37">
        <v>4.95</v>
      </c>
      <c r="K56" s="38">
        <f>(22*4.95*2)-(K28*0.06)</f>
        <v>39.969600000000014</v>
      </c>
    </row>
    <row r="57" spans="3:11" x14ac:dyDescent="0.25">
      <c r="C57" s="24" t="s">
        <v>39</v>
      </c>
      <c r="D57" s="154" t="s">
        <v>1146</v>
      </c>
      <c r="E57" s="37">
        <v>23.76</v>
      </c>
      <c r="F57" s="38">
        <f>23.76*22*0.95</f>
        <v>496.584</v>
      </c>
      <c r="H57" s="24" t="s">
        <v>39</v>
      </c>
      <c r="I57" s="154" t="s">
        <v>1146</v>
      </c>
      <c r="J57" s="37">
        <v>23.76</v>
      </c>
      <c r="K57" s="38">
        <f>23.76*22*0.95</f>
        <v>496.584</v>
      </c>
    </row>
    <row r="58" spans="3:11" x14ac:dyDescent="0.25">
      <c r="C58" s="24" t="s">
        <v>42</v>
      </c>
      <c r="D58" s="154" t="s">
        <v>1147</v>
      </c>
      <c r="E58" s="37">
        <v>164.16</v>
      </c>
      <c r="F58" s="20">
        <f>E58*1</f>
        <v>164.16</v>
      </c>
      <c r="H58" s="24" t="s">
        <v>42</v>
      </c>
      <c r="I58" s="154" t="s">
        <v>1147</v>
      </c>
      <c r="J58" s="37">
        <v>164.16</v>
      </c>
      <c r="K58" s="20">
        <f>J58*1</f>
        <v>164.16</v>
      </c>
    </row>
    <row r="59" spans="3:11" x14ac:dyDescent="0.25">
      <c r="C59" s="24" t="s">
        <v>44</v>
      </c>
      <c r="D59" s="155" t="s">
        <v>1148</v>
      </c>
      <c r="E59" s="37">
        <v>59</v>
      </c>
      <c r="F59" s="20">
        <f>E59</f>
        <v>59</v>
      </c>
      <c r="H59" s="24" t="s">
        <v>44</v>
      </c>
      <c r="I59" s="155" t="s">
        <v>1148</v>
      </c>
      <c r="J59" s="37">
        <v>59</v>
      </c>
      <c r="K59" s="20">
        <f>J59</f>
        <v>59</v>
      </c>
    </row>
    <row r="60" spans="3:11" x14ac:dyDescent="0.25">
      <c r="C60" s="24" t="s">
        <v>47</v>
      </c>
      <c r="D60" s="25" t="s">
        <v>97</v>
      </c>
      <c r="E60" s="37"/>
      <c r="F60" s="20">
        <v>0</v>
      </c>
      <c r="H60" s="24" t="s">
        <v>47</v>
      </c>
      <c r="I60" s="25" t="s">
        <v>97</v>
      </c>
      <c r="J60" s="37"/>
      <c r="K60" s="20">
        <v>0</v>
      </c>
    </row>
    <row r="61" spans="3:11" x14ac:dyDescent="0.25">
      <c r="C61" s="202" t="s">
        <v>98</v>
      </c>
      <c r="D61" s="203"/>
      <c r="E61" s="204"/>
      <c r="F61" s="22">
        <f>SUM(F56:F60)</f>
        <v>759.71359999999993</v>
      </c>
      <c r="H61" s="202" t="s">
        <v>98</v>
      </c>
      <c r="I61" s="203"/>
      <c r="J61" s="204"/>
      <c r="K61" s="22">
        <f>SUM(K56:K60)</f>
        <v>759.71359999999993</v>
      </c>
    </row>
    <row r="62" spans="3:11" x14ac:dyDescent="0.25">
      <c r="C62" s="193"/>
      <c r="D62" s="194"/>
      <c r="E62" s="194"/>
      <c r="F62" s="195"/>
      <c r="H62" s="193"/>
      <c r="I62" s="194"/>
      <c r="J62" s="194"/>
      <c r="K62" s="195"/>
    </row>
    <row r="63" spans="3:11" x14ac:dyDescent="0.25">
      <c r="C63" s="202" t="s">
        <v>99</v>
      </c>
      <c r="D63" s="203"/>
      <c r="E63" s="204"/>
      <c r="F63" s="22" t="s">
        <v>65</v>
      </c>
      <c r="H63" s="202" t="s">
        <v>99</v>
      </c>
      <c r="I63" s="203"/>
      <c r="J63" s="204"/>
      <c r="K63" s="22" t="s">
        <v>65</v>
      </c>
    </row>
    <row r="64" spans="3:11" x14ac:dyDescent="0.25">
      <c r="C64" s="24" t="s">
        <v>100</v>
      </c>
      <c r="D64" s="208" t="s">
        <v>76</v>
      </c>
      <c r="E64" s="209"/>
      <c r="F64" s="20">
        <f>F42</f>
        <v>758.97538888888892</v>
      </c>
      <c r="H64" s="24" t="s">
        <v>100</v>
      </c>
      <c r="I64" s="208" t="s">
        <v>76</v>
      </c>
      <c r="J64" s="209"/>
      <c r="K64" s="20">
        <f>K42</f>
        <v>758.97538888888892</v>
      </c>
    </row>
    <row r="65" spans="2:11" x14ac:dyDescent="0.25">
      <c r="C65" s="24" t="s">
        <v>81</v>
      </c>
      <c r="D65" s="208" t="s">
        <v>82</v>
      </c>
      <c r="E65" s="209"/>
      <c r="F65" s="20">
        <f>F53</f>
        <v>1715.7180791111109</v>
      </c>
      <c r="H65" s="24" t="s">
        <v>81</v>
      </c>
      <c r="I65" s="208" t="s">
        <v>82</v>
      </c>
      <c r="J65" s="209"/>
      <c r="K65" s="20">
        <f>K53</f>
        <v>783.26260133333335</v>
      </c>
    </row>
    <row r="66" spans="2:11" x14ac:dyDescent="0.25">
      <c r="C66" s="24" t="s">
        <v>101</v>
      </c>
      <c r="D66" s="208" t="s">
        <v>93</v>
      </c>
      <c r="E66" s="209"/>
      <c r="F66" s="20">
        <f>F61</f>
        <v>759.71359999999993</v>
      </c>
      <c r="H66" s="24" t="s">
        <v>101</v>
      </c>
      <c r="I66" s="208" t="s">
        <v>93</v>
      </c>
      <c r="J66" s="209"/>
      <c r="K66" s="20">
        <f>K61</f>
        <v>759.71359999999993</v>
      </c>
    </row>
    <row r="67" spans="2:11" x14ac:dyDescent="0.25">
      <c r="C67" s="202" t="s">
        <v>80</v>
      </c>
      <c r="D67" s="203"/>
      <c r="E67" s="204"/>
      <c r="F67" s="22">
        <f>SUM(F64:F66)</f>
        <v>3234.407068</v>
      </c>
      <c r="H67" s="202" t="s">
        <v>80</v>
      </c>
      <c r="I67" s="203"/>
      <c r="J67" s="204"/>
      <c r="K67" s="22">
        <f>SUM(K64:K66)</f>
        <v>2301.9515902222224</v>
      </c>
    </row>
    <row r="68" spans="2:11" x14ac:dyDescent="0.25">
      <c r="C68" s="193"/>
      <c r="D68" s="194"/>
      <c r="E68" s="194"/>
      <c r="F68" s="195"/>
      <c r="H68" s="193"/>
      <c r="I68" s="194"/>
      <c r="J68" s="194"/>
      <c r="K68" s="195"/>
    </row>
    <row r="69" spans="2:11" x14ac:dyDescent="0.25">
      <c r="C69" s="190" t="s">
        <v>102</v>
      </c>
      <c r="D69" s="191"/>
      <c r="E69" s="191"/>
      <c r="F69" s="192"/>
      <c r="H69" s="190" t="s">
        <v>102</v>
      </c>
      <c r="I69" s="191"/>
      <c r="J69" s="191"/>
      <c r="K69" s="192"/>
    </row>
    <row r="70" spans="2:11" x14ac:dyDescent="0.25">
      <c r="C70" s="193"/>
      <c r="D70" s="194"/>
      <c r="E70" s="194"/>
      <c r="F70" s="195"/>
      <c r="H70" s="193"/>
      <c r="I70" s="194"/>
      <c r="J70" s="194"/>
      <c r="K70" s="195"/>
    </row>
    <row r="71" spans="2:11" x14ac:dyDescent="0.25">
      <c r="C71" s="12">
        <v>3</v>
      </c>
      <c r="D71" s="23" t="s">
        <v>103</v>
      </c>
      <c r="E71" s="22" t="s">
        <v>77</v>
      </c>
      <c r="F71" s="22" t="s">
        <v>65</v>
      </c>
      <c r="H71" s="12">
        <v>3</v>
      </c>
      <c r="I71" s="23" t="s">
        <v>103</v>
      </c>
      <c r="J71" s="22" t="s">
        <v>77</v>
      </c>
      <c r="K71" s="22" t="s">
        <v>65</v>
      </c>
    </row>
    <row r="72" spans="2:11" x14ac:dyDescent="0.25">
      <c r="B72" s="129" t="s">
        <v>201</v>
      </c>
      <c r="C72" s="24" t="s">
        <v>66</v>
      </c>
      <c r="D72" s="25" t="s">
        <v>104</v>
      </c>
      <c r="E72" s="35">
        <f>0.42/100</f>
        <v>4.1999999999999997E-3</v>
      </c>
      <c r="F72" s="20">
        <f>E72*F35</f>
        <v>16.393868399999999</v>
      </c>
      <c r="H72" s="24" t="s">
        <v>66</v>
      </c>
      <c r="I72" s="25" t="s">
        <v>104</v>
      </c>
      <c r="J72" s="35">
        <f>0.42/100</f>
        <v>4.1999999999999997E-3</v>
      </c>
      <c r="K72" s="20">
        <f>J72*K35</f>
        <v>16.393868399999999</v>
      </c>
    </row>
    <row r="73" spans="2:11" x14ac:dyDescent="0.25">
      <c r="B73" s="129" t="s">
        <v>1085</v>
      </c>
      <c r="C73" s="24" t="s">
        <v>39</v>
      </c>
      <c r="D73" s="25" t="s">
        <v>105</v>
      </c>
      <c r="E73" s="35">
        <f>0.08*E72</f>
        <v>3.3599999999999998E-4</v>
      </c>
      <c r="F73" s="20">
        <f>E73*F35</f>
        <v>1.311509472</v>
      </c>
      <c r="H73" s="24" t="s">
        <v>39</v>
      </c>
      <c r="I73" s="25" t="s">
        <v>105</v>
      </c>
      <c r="J73" s="35">
        <f>0.08*J72</f>
        <v>3.3599999999999998E-4</v>
      </c>
      <c r="K73" s="20">
        <f>J73*K35</f>
        <v>1.311509472</v>
      </c>
    </row>
    <row r="74" spans="2:11" x14ac:dyDescent="0.25">
      <c r="B74" s="129" t="s">
        <v>202</v>
      </c>
      <c r="C74" s="24" t="s">
        <v>42</v>
      </c>
      <c r="D74" s="25" t="s">
        <v>106</v>
      </c>
      <c r="E74" s="35">
        <f>0.4*0.08*0.05</f>
        <v>1.6000000000000001E-3</v>
      </c>
      <c r="F74" s="20">
        <f>F35*E74</f>
        <v>6.2452832000000003</v>
      </c>
      <c r="H74" s="24" t="s">
        <v>42</v>
      </c>
      <c r="I74" s="25" t="s">
        <v>106</v>
      </c>
      <c r="J74" s="35">
        <f>0.4*0.08*0.05</f>
        <v>1.6000000000000001E-3</v>
      </c>
      <c r="K74" s="20">
        <f>K35*J74</f>
        <v>6.2452832000000003</v>
      </c>
    </row>
    <row r="75" spans="2:11" x14ac:dyDescent="0.25">
      <c r="B75" s="129" t="s">
        <v>203</v>
      </c>
      <c r="C75" s="24" t="s">
        <v>44</v>
      </c>
      <c r="D75" s="25" t="s">
        <v>198</v>
      </c>
      <c r="E75" s="35">
        <f>((7/30)/12)</f>
        <v>1.9444444444444445E-2</v>
      </c>
      <c r="F75" s="20">
        <f>E75*F35</f>
        <v>75.897538888888889</v>
      </c>
      <c r="H75" s="24" t="s">
        <v>44</v>
      </c>
      <c r="I75" s="25" t="s">
        <v>198</v>
      </c>
      <c r="J75" s="35">
        <f>((7/30)/12)</f>
        <v>1.9444444444444445E-2</v>
      </c>
      <c r="K75" s="20">
        <f>J75*K35</f>
        <v>75.897538888888889</v>
      </c>
    </row>
    <row r="76" spans="2:11" ht="25.5" x14ac:dyDescent="0.25">
      <c r="B76" s="129" t="s">
        <v>1086</v>
      </c>
      <c r="C76" s="24" t="s">
        <v>47</v>
      </c>
      <c r="D76" s="25" t="s">
        <v>108</v>
      </c>
      <c r="E76" s="35">
        <f>0.368*E75</f>
        <v>7.1555555555555556E-3</v>
      </c>
      <c r="F76" s="20">
        <f>F35*E76</f>
        <v>27.930294311111112</v>
      </c>
      <c r="H76" s="24" t="s">
        <v>47</v>
      </c>
      <c r="I76" s="25" t="s">
        <v>108</v>
      </c>
      <c r="J76" s="35">
        <f>0.368*J75</f>
        <v>7.1555555555555556E-3</v>
      </c>
      <c r="K76" s="20">
        <f>K35*J76</f>
        <v>27.930294311111112</v>
      </c>
    </row>
    <row r="77" spans="2:11" x14ac:dyDescent="0.25">
      <c r="B77" s="129" t="s">
        <v>204</v>
      </c>
      <c r="C77" s="24" t="s">
        <v>50</v>
      </c>
      <c r="D77" s="25" t="s">
        <v>109</v>
      </c>
      <c r="E77" s="35">
        <f>0.4*0.08*0.95</f>
        <v>3.04E-2</v>
      </c>
      <c r="F77" s="20">
        <f>F35*E77</f>
        <v>118.6603808</v>
      </c>
      <c r="H77" s="24" t="s">
        <v>50</v>
      </c>
      <c r="I77" s="25" t="s">
        <v>109</v>
      </c>
      <c r="J77" s="35">
        <f>0.4*0.08*0.95</f>
        <v>3.04E-2</v>
      </c>
      <c r="K77" s="20">
        <f>K35*J77</f>
        <v>118.6603808</v>
      </c>
    </row>
    <row r="78" spans="2:11" x14ac:dyDescent="0.25">
      <c r="C78" s="202" t="s">
        <v>110</v>
      </c>
      <c r="D78" s="203"/>
      <c r="E78" s="204"/>
      <c r="F78" s="22">
        <f>SUM(F72:F77)</f>
        <v>246.438875072</v>
      </c>
      <c r="H78" s="202" t="s">
        <v>110</v>
      </c>
      <c r="I78" s="203"/>
      <c r="J78" s="204"/>
      <c r="K78" s="22">
        <f>SUM(K72:K77)</f>
        <v>246.438875072</v>
      </c>
    </row>
    <row r="79" spans="2:11" x14ac:dyDescent="0.25">
      <c r="C79" s="193"/>
      <c r="D79" s="194"/>
      <c r="E79" s="194"/>
      <c r="F79" s="195"/>
      <c r="H79" s="193"/>
      <c r="I79" s="194"/>
      <c r="J79" s="194"/>
      <c r="K79" s="195"/>
    </row>
    <row r="80" spans="2:11" x14ac:dyDescent="0.25">
      <c r="C80" s="190" t="s">
        <v>111</v>
      </c>
      <c r="D80" s="191"/>
      <c r="E80" s="191"/>
      <c r="F80" s="192"/>
      <c r="H80" s="190" t="s">
        <v>111</v>
      </c>
      <c r="I80" s="191"/>
      <c r="J80" s="191"/>
      <c r="K80" s="192"/>
    </row>
    <row r="81" spans="3:11" x14ac:dyDescent="0.25">
      <c r="C81" s="210"/>
      <c r="D81" s="211"/>
      <c r="E81" s="211"/>
      <c r="F81" s="212"/>
      <c r="H81" s="210"/>
      <c r="I81" s="211"/>
      <c r="J81" s="211"/>
      <c r="K81" s="212"/>
    </row>
    <row r="82" spans="3:11" x14ac:dyDescent="0.25">
      <c r="C82" s="22" t="s">
        <v>112</v>
      </c>
      <c r="D82" s="23" t="s">
        <v>113</v>
      </c>
      <c r="E82" s="26" t="s">
        <v>77</v>
      </c>
      <c r="F82" s="22" t="s">
        <v>65</v>
      </c>
      <c r="H82" s="22" t="s">
        <v>112</v>
      </c>
      <c r="I82" s="23" t="s">
        <v>113</v>
      </c>
      <c r="J82" s="26" t="s">
        <v>77</v>
      </c>
      <c r="K82" s="22" t="s">
        <v>65</v>
      </c>
    </row>
    <row r="83" spans="3:11" x14ac:dyDescent="0.25">
      <c r="C83" s="24" t="s">
        <v>66</v>
      </c>
      <c r="D83" s="25" t="s">
        <v>114</v>
      </c>
      <c r="E83" s="35">
        <f>(((1+1/3)/12)/12)</f>
        <v>9.2592592592592587E-3</v>
      </c>
      <c r="F83" s="20">
        <f>($F$78+$F$67+$F$35)*E83</f>
        <v>68.371740213629622</v>
      </c>
      <c r="H83" s="24" t="s">
        <v>66</v>
      </c>
      <c r="I83" s="25" t="s">
        <v>114</v>
      </c>
      <c r="J83" s="35">
        <f>(((1+1/3)/12)/12)</f>
        <v>9.2592592592592587E-3</v>
      </c>
      <c r="K83" s="20">
        <f>($F$78+$F$67+$F$35)*J83</f>
        <v>68.371740213629622</v>
      </c>
    </row>
    <row r="84" spans="3:11" x14ac:dyDescent="0.25">
      <c r="C84" s="24" t="s">
        <v>39</v>
      </c>
      <c r="D84" s="25" t="s">
        <v>115</v>
      </c>
      <c r="E84" s="35">
        <f>((2/30)/12)</f>
        <v>5.5555555555555558E-3</v>
      </c>
      <c r="F84" s="20">
        <f t="shared" ref="F84:F88" si="2">($F$78+$F$67+$F$35)*E84</f>
        <v>41.02304412817778</v>
      </c>
      <c r="H84" s="24" t="s">
        <v>39</v>
      </c>
      <c r="I84" s="25" t="s">
        <v>115</v>
      </c>
      <c r="J84" s="35">
        <f>((2/30)/12)</f>
        <v>5.5555555555555558E-3</v>
      </c>
      <c r="K84" s="20">
        <f t="shared" ref="K84:K88" si="3">($F$78+$F$67+$F$35)*J84</f>
        <v>41.02304412817778</v>
      </c>
    </row>
    <row r="85" spans="3:11" x14ac:dyDescent="0.25">
      <c r="C85" s="24" t="s">
        <v>42</v>
      </c>
      <c r="D85" s="25" t="s">
        <v>116</v>
      </c>
      <c r="E85" s="52">
        <f>((5/30)/12)*0.015</f>
        <v>2.0833333333333332E-4</v>
      </c>
      <c r="F85" s="20">
        <f t="shared" si="2"/>
        <v>1.5383641548066667</v>
      </c>
      <c r="H85" s="24" t="s">
        <v>42</v>
      </c>
      <c r="I85" s="25" t="s">
        <v>116</v>
      </c>
      <c r="J85" s="52">
        <f>((5/30)/12)*0.015</f>
        <v>2.0833333333333332E-4</v>
      </c>
      <c r="K85" s="20">
        <f t="shared" si="3"/>
        <v>1.5383641548066667</v>
      </c>
    </row>
    <row r="86" spans="3:11" x14ac:dyDescent="0.25">
      <c r="C86" s="24" t="s">
        <v>44</v>
      </c>
      <c r="D86" s="25" t="s">
        <v>117</v>
      </c>
      <c r="E86" s="35">
        <f>(((15/30)/12)*0.08)</f>
        <v>3.3333333333333331E-3</v>
      </c>
      <c r="F86" s="20">
        <f t="shared" si="2"/>
        <v>24.613826476906667</v>
      </c>
      <c r="H86" s="24" t="s">
        <v>44</v>
      </c>
      <c r="I86" s="25" t="s">
        <v>117</v>
      </c>
      <c r="J86" s="35">
        <f>(((15/30)/12)*0.08)</f>
        <v>3.3333333333333331E-3</v>
      </c>
      <c r="K86" s="20">
        <f t="shared" si="3"/>
        <v>24.613826476906667</v>
      </c>
    </row>
    <row r="87" spans="3:11" x14ac:dyDescent="0.25">
      <c r="C87" s="24" t="s">
        <v>47</v>
      </c>
      <c r="D87" s="25" t="s">
        <v>118</v>
      </c>
      <c r="E87" s="52">
        <f>0.0144*0.1*0.4509*6/12</f>
        <v>3.2464800000000003E-4</v>
      </c>
      <c r="F87" s="20">
        <f t="shared" si="2"/>
        <v>2.397248861422439</v>
      </c>
      <c r="H87" s="24" t="s">
        <v>47</v>
      </c>
      <c r="I87" s="25" t="s">
        <v>118</v>
      </c>
      <c r="J87" s="52">
        <f>0.0144*0.1*0.4509*6/12</f>
        <v>3.2464800000000003E-4</v>
      </c>
      <c r="K87" s="20">
        <f t="shared" si="3"/>
        <v>2.397248861422439</v>
      </c>
    </row>
    <row r="88" spans="3:11" x14ac:dyDescent="0.25">
      <c r="C88" s="24" t="s">
        <v>50</v>
      </c>
      <c r="D88" s="25" t="s">
        <v>119</v>
      </c>
      <c r="E88" s="35">
        <v>0</v>
      </c>
      <c r="F88" s="20">
        <f t="shared" si="2"/>
        <v>0</v>
      </c>
      <c r="H88" s="24" t="s">
        <v>50</v>
      </c>
      <c r="I88" s="25" t="s">
        <v>119</v>
      </c>
      <c r="J88" s="35">
        <v>0</v>
      </c>
      <c r="K88" s="20">
        <f t="shared" si="3"/>
        <v>0</v>
      </c>
    </row>
    <row r="89" spans="3:11" x14ac:dyDescent="0.25">
      <c r="C89" s="202" t="s">
        <v>80</v>
      </c>
      <c r="D89" s="203"/>
      <c r="E89" s="204"/>
      <c r="F89" s="22">
        <f>SUM(F83:F88)</f>
        <v>137.94422383494316</v>
      </c>
      <c r="H89" s="202" t="s">
        <v>80</v>
      </c>
      <c r="I89" s="203"/>
      <c r="J89" s="204"/>
      <c r="K89" s="22">
        <f>SUM(K83:K88)</f>
        <v>137.94422383494316</v>
      </c>
    </row>
    <row r="90" spans="3:11" x14ac:dyDescent="0.25">
      <c r="C90" s="193"/>
      <c r="D90" s="194"/>
      <c r="E90" s="194"/>
      <c r="F90" s="195"/>
      <c r="H90" s="193"/>
      <c r="I90" s="194"/>
      <c r="J90" s="194"/>
      <c r="K90" s="195"/>
    </row>
    <row r="91" spans="3:11" x14ac:dyDescent="0.25">
      <c r="C91" s="27" t="s">
        <v>120</v>
      </c>
      <c r="D91" s="27" t="s">
        <v>121</v>
      </c>
      <c r="E91" s="26" t="s">
        <v>77</v>
      </c>
      <c r="F91" s="22" t="s">
        <v>65</v>
      </c>
      <c r="H91" s="27" t="s">
        <v>120</v>
      </c>
      <c r="I91" s="27" t="s">
        <v>121</v>
      </c>
      <c r="J91" s="26" t="s">
        <v>77</v>
      </c>
      <c r="K91" s="22" t="s">
        <v>65</v>
      </c>
    </row>
    <row r="92" spans="3:11" x14ac:dyDescent="0.25">
      <c r="C92" s="20" t="s">
        <v>66</v>
      </c>
      <c r="D92" s="21" t="s">
        <v>122</v>
      </c>
      <c r="E92" s="28">
        <v>0</v>
      </c>
      <c r="F92" s="20">
        <v>0</v>
      </c>
      <c r="H92" s="20" t="s">
        <v>66</v>
      </c>
      <c r="I92" s="21" t="s">
        <v>122</v>
      </c>
      <c r="J92" s="28">
        <v>0</v>
      </c>
      <c r="K92" s="20">
        <v>0</v>
      </c>
    </row>
    <row r="93" spans="3:11" x14ac:dyDescent="0.25">
      <c r="C93" s="202" t="s">
        <v>80</v>
      </c>
      <c r="D93" s="204"/>
      <c r="E93" s="39">
        <v>0</v>
      </c>
      <c r="F93" s="22">
        <v>0</v>
      </c>
      <c r="H93" s="202" t="s">
        <v>80</v>
      </c>
      <c r="I93" s="204"/>
      <c r="J93" s="39">
        <v>0</v>
      </c>
      <c r="K93" s="22">
        <v>0</v>
      </c>
    </row>
    <row r="94" spans="3:11" x14ac:dyDescent="0.25">
      <c r="C94" s="193"/>
      <c r="D94" s="194"/>
      <c r="E94" s="194"/>
      <c r="F94" s="195"/>
      <c r="H94" s="193"/>
      <c r="I94" s="194"/>
      <c r="J94" s="194"/>
      <c r="K94" s="195"/>
    </row>
    <row r="95" spans="3:11" x14ac:dyDescent="0.25">
      <c r="C95" s="202" t="s">
        <v>123</v>
      </c>
      <c r="D95" s="203"/>
      <c r="E95" s="204"/>
      <c r="F95" s="22" t="s">
        <v>65</v>
      </c>
      <c r="H95" s="202" t="s">
        <v>123</v>
      </c>
      <c r="I95" s="203"/>
      <c r="J95" s="204"/>
      <c r="K95" s="22" t="s">
        <v>65</v>
      </c>
    </row>
    <row r="96" spans="3:11" x14ac:dyDescent="0.25">
      <c r="C96" s="20" t="s">
        <v>112</v>
      </c>
      <c r="D96" s="213" t="s">
        <v>113</v>
      </c>
      <c r="E96" s="214"/>
      <c r="F96" s="20">
        <f>F89</f>
        <v>137.94422383494316</v>
      </c>
      <c r="H96" s="20" t="s">
        <v>112</v>
      </c>
      <c r="I96" s="213" t="s">
        <v>113</v>
      </c>
      <c r="J96" s="214"/>
      <c r="K96" s="20">
        <f>K89</f>
        <v>137.94422383494316</v>
      </c>
    </row>
    <row r="97" spans="3:11" x14ac:dyDescent="0.25">
      <c r="C97" s="20" t="s">
        <v>120</v>
      </c>
      <c r="D97" s="213" t="s">
        <v>121</v>
      </c>
      <c r="E97" s="214"/>
      <c r="F97" s="20">
        <v>0</v>
      </c>
      <c r="H97" s="20" t="s">
        <v>120</v>
      </c>
      <c r="I97" s="213" t="s">
        <v>121</v>
      </c>
      <c r="J97" s="214"/>
      <c r="K97" s="20">
        <v>0</v>
      </c>
    </row>
    <row r="98" spans="3:11" x14ac:dyDescent="0.25">
      <c r="C98" s="202" t="s">
        <v>124</v>
      </c>
      <c r="D98" s="203"/>
      <c r="E98" s="204"/>
      <c r="F98" s="22">
        <f>SUM(F96:F97)</f>
        <v>137.94422383494316</v>
      </c>
      <c r="H98" s="202" t="s">
        <v>124</v>
      </c>
      <c r="I98" s="203"/>
      <c r="J98" s="204"/>
      <c r="K98" s="22">
        <f>SUM(K96:K97)</f>
        <v>137.94422383494316</v>
      </c>
    </row>
    <row r="99" spans="3:11" x14ac:dyDescent="0.25">
      <c r="C99" s="193"/>
      <c r="D99" s="194"/>
      <c r="E99" s="194"/>
      <c r="F99" s="195"/>
      <c r="H99" s="193"/>
      <c r="I99" s="194"/>
      <c r="J99" s="194"/>
      <c r="K99" s="195"/>
    </row>
    <row r="100" spans="3:11" x14ac:dyDescent="0.25">
      <c r="C100" s="190" t="s">
        <v>125</v>
      </c>
      <c r="D100" s="191"/>
      <c r="E100" s="191"/>
      <c r="F100" s="192"/>
      <c r="H100" s="190" t="s">
        <v>125</v>
      </c>
      <c r="I100" s="191"/>
      <c r="J100" s="191"/>
      <c r="K100" s="192"/>
    </row>
    <row r="101" spans="3:11" x14ac:dyDescent="0.25">
      <c r="C101" s="210"/>
      <c r="D101" s="211"/>
      <c r="E101" s="211"/>
      <c r="F101" s="212"/>
      <c r="H101" s="210"/>
      <c r="I101" s="211"/>
      <c r="J101" s="211"/>
      <c r="K101" s="212"/>
    </row>
    <row r="102" spans="3:11" x14ac:dyDescent="0.25">
      <c r="C102" s="12">
        <v>5</v>
      </c>
      <c r="D102" s="202" t="s">
        <v>126</v>
      </c>
      <c r="E102" s="204"/>
      <c r="F102" s="22" t="s">
        <v>65</v>
      </c>
      <c r="H102" s="12">
        <v>5</v>
      </c>
      <c r="I102" s="202" t="s">
        <v>126</v>
      </c>
      <c r="J102" s="204"/>
      <c r="K102" s="22" t="s">
        <v>65</v>
      </c>
    </row>
    <row r="103" spans="3:11" x14ac:dyDescent="0.25">
      <c r="C103" s="24" t="s">
        <v>66</v>
      </c>
      <c r="D103" s="216" t="s">
        <v>127</v>
      </c>
      <c r="E103" s="217"/>
      <c r="F103" s="20">
        <f>UNIFORMES!E9</f>
        <v>75.355555555555569</v>
      </c>
      <c r="H103" s="24" t="s">
        <v>66</v>
      </c>
      <c r="I103" s="216" t="s">
        <v>127</v>
      </c>
      <c r="J103" s="217"/>
      <c r="K103" s="118">
        <f>UNIFORMES!E9</f>
        <v>75.355555555555569</v>
      </c>
    </row>
    <row r="104" spans="3:11" x14ac:dyDescent="0.25">
      <c r="C104" s="24" t="s">
        <v>39</v>
      </c>
      <c r="D104" s="29" t="s">
        <v>128</v>
      </c>
      <c r="E104" s="30"/>
      <c r="F104" s="20">
        <v>0</v>
      </c>
      <c r="H104" s="24" t="s">
        <v>39</v>
      </c>
      <c r="I104" s="29" t="s">
        <v>128</v>
      </c>
      <c r="J104" s="30"/>
      <c r="K104" s="20">
        <v>0</v>
      </c>
    </row>
    <row r="105" spans="3:11" x14ac:dyDescent="0.25">
      <c r="C105" s="24" t="s">
        <v>42</v>
      </c>
      <c r="D105" s="216" t="s">
        <v>129</v>
      </c>
      <c r="E105" s="217"/>
      <c r="F105" s="118">
        <f>'Ferramentas de Uso Geral'!E60+'Ferramentas ELE-TEC-MEC'!E33</f>
        <v>86.806103703703698</v>
      </c>
      <c r="H105" s="24" t="s">
        <v>42</v>
      </c>
      <c r="I105" s="216" t="s">
        <v>129</v>
      </c>
      <c r="J105" s="217"/>
      <c r="K105" s="118">
        <f>'Ferramentas de Uso Geral'!E60+'Ferramentas ELE-TEC-MEC'!E33</f>
        <v>86.806103703703698</v>
      </c>
    </row>
    <row r="106" spans="3:11" x14ac:dyDescent="0.25">
      <c r="C106" s="24" t="s">
        <v>44</v>
      </c>
      <c r="D106" s="216" t="s">
        <v>130</v>
      </c>
      <c r="E106" s="217"/>
      <c r="F106" s="20">
        <v>0</v>
      </c>
      <c r="H106" s="24" t="s">
        <v>44</v>
      </c>
      <c r="I106" s="216" t="s">
        <v>130</v>
      </c>
      <c r="J106" s="217"/>
      <c r="K106" s="20">
        <v>0</v>
      </c>
    </row>
    <row r="107" spans="3:11" x14ac:dyDescent="0.25">
      <c r="C107" s="202" t="s">
        <v>131</v>
      </c>
      <c r="D107" s="203"/>
      <c r="E107" s="204"/>
      <c r="F107" s="22">
        <f>SUM(F103:F106)</f>
        <v>162.16165925925927</v>
      </c>
      <c r="H107" s="202" t="s">
        <v>131</v>
      </c>
      <c r="I107" s="203"/>
      <c r="J107" s="204"/>
      <c r="K107" s="22">
        <f>SUM(K103:K106)</f>
        <v>162.16165925925927</v>
      </c>
    </row>
    <row r="108" spans="3:11" x14ac:dyDescent="0.25">
      <c r="C108" s="193"/>
      <c r="D108" s="194"/>
      <c r="E108" s="194"/>
      <c r="F108" s="195"/>
      <c r="H108" s="193"/>
      <c r="I108" s="194"/>
      <c r="J108" s="194"/>
      <c r="K108" s="195"/>
    </row>
    <row r="109" spans="3:11" x14ac:dyDescent="0.25">
      <c r="C109" s="215" t="s">
        <v>132</v>
      </c>
      <c r="D109" s="215"/>
      <c r="E109" s="215"/>
      <c r="F109" s="41">
        <f>F107+F98+F78+F35+F67</f>
        <v>7684.253826166203</v>
      </c>
      <c r="H109" s="215" t="s">
        <v>132</v>
      </c>
      <c r="I109" s="215"/>
      <c r="J109" s="215"/>
      <c r="K109" s="41">
        <f>K107+K98+K78+K35+K67</f>
        <v>6751.7983483884254</v>
      </c>
    </row>
    <row r="110" spans="3:11" x14ac:dyDescent="0.25">
      <c r="C110" s="189"/>
      <c r="D110" s="189"/>
      <c r="E110" s="189"/>
      <c r="F110" s="189"/>
      <c r="H110" s="189"/>
      <c r="I110" s="189"/>
      <c r="J110" s="189"/>
      <c r="K110" s="189"/>
    </row>
    <row r="111" spans="3:11" x14ac:dyDescent="0.25">
      <c r="C111" s="228" t="s">
        <v>133</v>
      </c>
      <c r="D111" s="228"/>
      <c r="E111" s="228"/>
      <c r="F111" s="228"/>
      <c r="H111" s="228" t="s">
        <v>133</v>
      </c>
      <c r="I111" s="228"/>
      <c r="J111" s="228"/>
      <c r="K111" s="228"/>
    </row>
    <row r="112" spans="3:11" x14ac:dyDescent="0.25">
      <c r="C112" s="193"/>
      <c r="D112" s="194"/>
      <c r="E112" s="194"/>
      <c r="F112" s="195"/>
      <c r="H112" s="193"/>
      <c r="I112" s="194"/>
      <c r="J112" s="194"/>
      <c r="K112" s="195"/>
    </row>
    <row r="113" spans="3:11" x14ac:dyDescent="0.25">
      <c r="C113" s="12">
        <v>6</v>
      </c>
      <c r="D113" s="40" t="s">
        <v>134</v>
      </c>
      <c r="E113" s="22" t="s">
        <v>77</v>
      </c>
      <c r="F113" s="22" t="s">
        <v>65</v>
      </c>
      <c r="H113" s="12">
        <v>6</v>
      </c>
      <c r="I113" s="40" t="s">
        <v>134</v>
      </c>
      <c r="J113" s="22" t="s">
        <v>77</v>
      </c>
      <c r="K113" s="22" t="s">
        <v>65</v>
      </c>
    </row>
    <row r="114" spans="3:11" x14ac:dyDescent="0.25">
      <c r="C114" s="24" t="s">
        <v>66</v>
      </c>
      <c r="D114" s="25" t="s">
        <v>135</v>
      </c>
      <c r="E114" s="35">
        <f>6.06/100</f>
        <v>6.0599999999999994E-2</v>
      </c>
      <c r="F114" s="20">
        <f>E114*F109</f>
        <v>465.66578186567187</v>
      </c>
      <c r="H114" s="24" t="s">
        <v>66</v>
      </c>
      <c r="I114" s="25" t="s">
        <v>135</v>
      </c>
      <c r="J114" s="35">
        <f>6.06/100</f>
        <v>6.0599999999999994E-2</v>
      </c>
      <c r="K114" s="20">
        <f>J114*K109</f>
        <v>409.15897991233857</v>
      </c>
    </row>
    <row r="115" spans="3:11" x14ac:dyDescent="0.25">
      <c r="C115" s="24" t="s">
        <v>39</v>
      </c>
      <c r="D115" s="25" t="s">
        <v>136</v>
      </c>
      <c r="E115" s="35">
        <f>7.4/100</f>
        <v>7.400000000000001E-2</v>
      </c>
      <c r="F115" s="20">
        <f>E115*(F109+F114)</f>
        <v>603.09405099435889</v>
      </c>
      <c r="H115" s="24" t="s">
        <v>39</v>
      </c>
      <c r="I115" s="25" t="s">
        <v>136</v>
      </c>
      <c r="J115" s="35">
        <f>7.4/100</f>
        <v>7.400000000000001E-2</v>
      </c>
      <c r="K115" s="20">
        <f>J115*(K109+K114)</f>
        <v>529.91084229425655</v>
      </c>
    </row>
    <row r="116" spans="3:11" x14ac:dyDescent="0.25">
      <c r="C116" s="24" t="s">
        <v>42</v>
      </c>
      <c r="D116" s="208" t="s">
        <v>137</v>
      </c>
      <c r="E116" s="218"/>
      <c r="F116" s="209"/>
      <c r="H116" s="24" t="s">
        <v>42</v>
      </c>
      <c r="I116" s="208" t="s">
        <v>137</v>
      </c>
      <c r="J116" s="218"/>
      <c r="K116" s="209"/>
    </row>
    <row r="117" spans="3:11" x14ac:dyDescent="0.25">
      <c r="C117" s="24" t="s">
        <v>138</v>
      </c>
      <c r="D117" s="7" t="s">
        <v>205</v>
      </c>
      <c r="E117" s="219">
        <v>8.6499999999999994E-2</v>
      </c>
      <c r="F117" s="222">
        <f>((F114+F109+F115)/(1-E117))-(F109+F115+F114)</f>
        <v>828.8294269357084</v>
      </c>
      <c r="H117" s="24" t="s">
        <v>138</v>
      </c>
      <c r="I117" s="7" t="s">
        <v>205</v>
      </c>
      <c r="J117" s="219">
        <v>8.6499999999999994E-2</v>
      </c>
      <c r="K117" s="222">
        <f>((K114+K109+K115)/(1-J117))-(K109+K115+K114)</f>
        <v>728.25407417238057</v>
      </c>
    </row>
    <row r="118" spans="3:11" x14ac:dyDescent="0.25">
      <c r="C118" s="24" t="s">
        <v>139</v>
      </c>
      <c r="D118" s="7" t="s">
        <v>206</v>
      </c>
      <c r="E118" s="220"/>
      <c r="F118" s="223"/>
      <c r="H118" s="24" t="s">
        <v>139</v>
      </c>
      <c r="I118" s="7" t="s">
        <v>206</v>
      </c>
      <c r="J118" s="220"/>
      <c r="K118" s="223"/>
    </row>
    <row r="119" spans="3:11" x14ac:dyDescent="0.25">
      <c r="C119" s="24" t="s">
        <v>140</v>
      </c>
      <c r="D119" s="7" t="s">
        <v>207</v>
      </c>
      <c r="E119" s="221"/>
      <c r="F119" s="224"/>
      <c r="H119" s="24" t="s">
        <v>140</v>
      </c>
      <c r="I119" s="7" t="s">
        <v>207</v>
      </c>
      <c r="J119" s="221"/>
      <c r="K119" s="224"/>
    </row>
    <row r="120" spans="3:11" x14ac:dyDescent="0.25">
      <c r="C120" s="229" t="s">
        <v>141</v>
      </c>
      <c r="D120" s="230"/>
      <c r="E120" s="231"/>
      <c r="F120" s="22">
        <f>SUM(F114,F115,F117,F118,F119)</f>
        <v>1897.5892597957391</v>
      </c>
      <c r="H120" s="229" t="s">
        <v>141</v>
      </c>
      <c r="I120" s="230"/>
      <c r="J120" s="231"/>
      <c r="K120" s="22">
        <f>SUM(K114,K115,K117,K118,K119)</f>
        <v>1667.3238963789756</v>
      </c>
    </row>
    <row r="121" spans="3:11" x14ac:dyDescent="0.25">
      <c r="C121" s="193"/>
      <c r="D121" s="194"/>
      <c r="E121" s="194"/>
      <c r="F121" s="195"/>
      <c r="H121" s="193"/>
      <c r="I121" s="194"/>
      <c r="J121" s="194"/>
      <c r="K121" s="195"/>
    </row>
    <row r="122" spans="3:11" x14ac:dyDescent="0.25">
      <c r="C122" s="232" t="s">
        <v>142</v>
      </c>
      <c r="D122" s="233"/>
      <c r="E122" s="234"/>
      <c r="F122" s="43" t="s">
        <v>65</v>
      </c>
      <c r="H122" s="232" t="s">
        <v>142</v>
      </c>
      <c r="I122" s="233"/>
      <c r="J122" s="234"/>
      <c r="K122" s="43" t="s">
        <v>65</v>
      </c>
    </row>
    <row r="123" spans="3:11" x14ac:dyDescent="0.25">
      <c r="C123" s="180" t="s">
        <v>143</v>
      </c>
      <c r="D123" s="181"/>
      <c r="E123" s="181"/>
      <c r="F123" s="182"/>
      <c r="H123" s="180" t="s">
        <v>143</v>
      </c>
      <c r="I123" s="181"/>
      <c r="J123" s="181"/>
      <c r="K123" s="182"/>
    </row>
    <row r="124" spans="3:11" x14ac:dyDescent="0.25">
      <c r="C124" s="6" t="s">
        <v>66</v>
      </c>
      <c r="D124" s="183" t="s">
        <v>144</v>
      </c>
      <c r="E124" s="184"/>
      <c r="F124" s="20">
        <f>F35</f>
        <v>3903.3020000000001</v>
      </c>
      <c r="H124" s="6" t="s">
        <v>66</v>
      </c>
      <c r="I124" s="183" t="s">
        <v>144</v>
      </c>
      <c r="J124" s="184"/>
      <c r="K124" s="20">
        <f>K35</f>
        <v>3903.3020000000001</v>
      </c>
    </row>
    <row r="125" spans="3:11" x14ac:dyDescent="0.25">
      <c r="C125" s="6" t="s">
        <v>39</v>
      </c>
      <c r="D125" s="183" t="s">
        <v>145</v>
      </c>
      <c r="E125" s="184"/>
      <c r="F125" s="20">
        <f>F67</f>
        <v>3234.407068</v>
      </c>
      <c r="H125" s="6" t="s">
        <v>39</v>
      </c>
      <c r="I125" s="183" t="s">
        <v>145</v>
      </c>
      <c r="J125" s="184"/>
      <c r="K125" s="20">
        <f>K67</f>
        <v>2301.9515902222224</v>
      </c>
    </row>
    <row r="126" spans="3:11" x14ac:dyDescent="0.25">
      <c r="C126" s="6" t="s">
        <v>42</v>
      </c>
      <c r="D126" s="183" t="s">
        <v>146</v>
      </c>
      <c r="E126" s="184"/>
      <c r="F126" s="20">
        <f>F78</f>
        <v>246.438875072</v>
      </c>
      <c r="H126" s="6" t="s">
        <v>42</v>
      </c>
      <c r="I126" s="183" t="s">
        <v>146</v>
      </c>
      <c r="J126" s="184"/>
      <c r="K126" s="20">
        <f>K78</f>
        <v>246.438875072</v>
      </c>
    </row>
    <row r="127" spans="3:11" x14ac:dyDescent="0.25">
      <c r="C127" s="6" t="s">
        <v>44</v>
      </c>
      <c r="D127" s="183" t="s">
        <v>147</v>
      </c>
      <c r="E127" s="184"/>
      <c r="F127" s="20">
        <f>F98</f>
        <v>137.94422383494316</v>
      </c>
      <c r="H127" s="6" t="s">
        <v>44</v>
      </c>
      <c r="I127" s="183" t="s">
        <v>147</v>
      </c>
      <c r="J127" s="184"/>
      <c r="K127" s="20">
        <f>K98</f>
        <v>137.94422383494316</v>
      </c>
    </row>
    <row r="128" spans="3:11" x14ac:dyDescent="0.25">
      <c r="C128" s="6" t="s">
        <v>47</v>
      </c>
      <c r="D128" s="183" t="s">
        <v>148</v>
      </c>
      <c r="E128" s="184"/>
      <c r="F128" s="20">
        <f>F107</f>
        <v>162.16165925925927</v>
      </c>
      <c r="H128" s="6" t="s">
        <v>47</v>
      </c>
      <c r="I128" s="183" t="s">
        <v>148</v>
      </c>
      <c r="J128" s="184"/>
      <c r="K128" s="20">
        <f>K107</f>
        <v>162.16165925925927</v>
      </c>
    </row>
    <row r="129" spans="3:11" x14ac:dyDescent="0.25">
      <c r="C129" s="235" t="s">
        <v>149</v>
      </c>
      <c r="D129" s="236"/>
      <c r="E129" s="237"/>
      <c r="F129" s="20">
        <f>SUM(F124:F128)</f>
        <v>7684.2538261662021</v>
      </c>
      <c r="H129" s="235" t="s">
        <v>149</v>
      </c>
      <c r="I129" s="236"/>
      <c r="J129" s="237"/>
      <c r="K129" s="20">
        <f>SUM(K124:K128)</f>
        <v>6751.7983483884245</v>
      </c>
    </row>
    <row r="130" spans="3:11" x14ac:dyDescent="0.25">
      <c r="C130" s="6" t="s">
        <v>150</v>
      </c>
      <c r="D130" s="183" t="s">
        <v>151</v>
      </c>
      <c r="E130" s="184"/>
      <c r="F130" s="20">
        <f>F120</f>
        <v>1897.5892597957391</v>
      </c>
      <c r="H130" s="6" t="s">
        <v>150</v>
      </c>
      <c r="I130" s="183" t="s">
        <v>151</v>
      </c>
      <c r="J130" s="184"/>
      <c r="K130" s="20">
        <f>K120</f>
        <v>1667.3238963789756</v>
      </c>
    </row>
    <row r="131" spans="3:11" x14ac:dyDescent="0.25">
      <c r="C131" s="199" t="s">
        <v>152</v>
      </c>
      <c r="D131" s="201"/>
      <c r="E131" s="200"/>
      <c r="F131" s="42">
        <f>F129+F130</f>
        <v>9581.8430859619402</v>
      </c>
      <c r="H131" s="199" t="s">
        <v>152</v>
      </c>
      <c r="I131" s="201"/>
      <c r="J131" s="200"/>
      <c r="K131" s="42">
        <f>K129+K130</f>
        <v>8419.1222447674008</v>
      </c>
    </row>
    <row r="132" spans="3:11" x14ac:dyDescent="0.25">
      <c r="C132" s="199" t="s">
        <v>1084</v>
      </c>
      <c r="D132" s="201"/>
      <c r="E132" s="200"/>
      <c r="F132" s="42">
        <f>F131/220</f>
        <v>43.55383220891791</v>
      </c>
      <c r="H132" s="199" t="s">
        <v>1084</v>
      </c>
      <c r="I132" s="201"/>
      <c r="J132" s="200"/>
      <c r="K132" s="42">
        <f>K131/220</f>
        <v>38.268737476215456</v>
      </c>
    </row>
  </sheetData>
  <mergeCells count="164">
    <mergeCell ref="H131:J131"/>
    <mergeCell ref="C132:E132"/>
    <mergeCell ref="H132:J132"/>
    <mergeCell ref="I126:J126"/>
    <mergeCell ref="I127:J127"/>
    <mergeCell ref="I128:J128"/>
    <mergeCell ref="H129:J129"/>
    <mergeCell ref="I130:J130"/>
    <mergeCell ref="H121:K121"/>
    <mergeCell ref="H122:J122"/>
    <mergeCell ref="H123:K123"/>
    <mergeCell ref="I124:J124"/>
    <mergeCell ref="I125:J125"/>
    <mergeCell ref="C122:E122"/>
    <mergeCell ref="H112:K112"/>
    <mergeCell ref="I116:K116"/>
    <mergeCell ref="J117:J119"/>
    <mergeCell ref="K117:K119"/>
    <mergeCell ref="H120:J120"/>
    <mergeCell ref="H107:J107"/>
    <mergeCell ref="H108:K108"/>
    <mergeCell ref="H109:J109"/>
    <mergeCell ref="H110:K110"/>
    <mergeCell ref="H111:K111"/>
    <mergeCell ref="H101:K101"/>
    <mergeCell ref="I102:J102"/>
    <mergeCell ref="I103:J103"/>
    <mergeCell ref="I105:J105"/>
    <mergeCell ref="I106:J106"/>
    <mergeCell ref="I96:J96"/>
    <mergeCell ref="I97:J97"/>
    <mergeCell ref="H98:J98"/>
    <mergeCell ref="H99:K99"/>
    <mergeCell ref="H100:K100"/>
    <mergeCell ref="H89:J89"/>
    <mergeCell ref="H90:K90"/>
    <mergeCell ref="H93:I93"/>
    <mergeCell ref="H94:K94"/>
    <mergeCell ref="H95:J95"/>
    <mergeCell ref="H70:K70"/>
    <mergeCell ref="H78:J78"/>
    <mergeCell ref="H79:K79"/>
    <mergeCell ref="H80:K80"/>
    <mergeCell ref="H81:K81"/>
    <mergeCell ref="I65:J65"/>
    <mergeCell ref="I66:J66"/>
    <mergeCell ref="H67:J67"/>
    <mergeCell ref="H68:K68"/>
    <mergeCell ref="H69:K69"/>
    <mergeCell ref="H54:K54"/>
    <mergeCell ref="H61:J61"/>
    <mergeCell ref="H62:K62"/>
    <mergeCell ref="H63:J63"/>
    <mergeCell ref="I64:J64"/>
    <mergeCell ref="H37:K37"/>
    <mergeCell ref="H38:K38"/>
    <mergeCell ref="H42:J42"/>
    <mergeCell ref="H43:K43"/>
    <mergeCell ref="H53:I53"/>
    <mergeCell ref="H25:K25"/>
    <mergeCell ref="H26:K26"/>
    <mergeCell ref="I27:J27"/>
    <mergeCell ref="H35:J35"/>
    <mergeCell ref="H36:K36"/>
    <mergeCell ref="H20:K20"/>
    <mergeCell ref="I21:J21"/>
    <mergeCell ref="I22:J22"/>
    <mergeCell ref="I23:J23"/>
    <mergeCell ref="H24:K24"/>
    <mergeCell ref="H15:K15"/>
    <mergeCell ref="H16:K16"/>
    <mergeCell ref="J17:K17"/>
    <mergeCell ref="J18:K18"/>
    <mergeCell ref="J19:K19"/>
    <mergeCell ref="J10:K10"/>
    <mergeCell ref="J11:K11"/>
    <mergeCell ref="J12:K12"/>
    <mergeCell ref="J13:K13"/>
    <mergeCell ref="H14:K14"/>
    <mergeCell ref="H4:K4"/>
    <mergeCell ref="H5:K5"/>
    <mergeCell ref="H6:K6"/>
    <mergeCell ref="J7:K7"/>
    <mergeCell ref="J8:K8"/>
    <mergeCell ref="C16:F16"/>
    <mergeCell ref="C4:F4"/>
    <mergeCell ref="C5:F5"/>
    <mergeCell ref="C6:F6"/>
    <mergeCell ref="E7:F7"/>
    <mergeCell ref="E8:F8"/>
    <mergeCell ref="E10:F10"/>
    <mergeCell ref="E11:F11"/>
    <mergeCell ref="E12:F12"/>
    <mergeCell ref="E13:F13"/>
    <mergeCell ref="C14:F14"/>
    <mergeCell ref="C15:F15"/>
    <mergeCell ref="C35:E35"/>
    <mergeCell ref="E17:F17"/>
    <mergeCell ref="E18:F18"/>
    <mergeCell ref="E19:F19"/>
    <mergeCell ref="C20:F20"/>
    <mergeCell ref="D21:E21"/>
    <mergeCell ref="D22:E22"/>
    <mergeCell ref="D23:E23"/>
    <mergeCell ref="C24:F24"/>
    <mergeCell ref="C25:F25"/>
    <mergeCell ref="C26:F26"/>
    <mergeCell ref="D27:E27"/>
    <mergeCell ref="D65:E65"/>
    <mergeCell ref="C36:F36"/>
    <mergeCell ref="C37:F37"/>
    <mergeCell ref="C38:F38"/>
    <mergeCell ref="C42:E42"/>
    <mergeCell ref="C43:F43"/>
    <mergeCell ref="C53:D53"/>
    <mergeCell ref="C54:F54"/>
    <mergeCell ref="C61:E61"/>
    <mergeCell ref="C62:F62"/>
    <mergeCell ref="C63:E63"/>
    <mergeCell ref="D64:E64"/>
    <mergeCell ref="C93:D93"/>
    <mergeCell ref="D66:E66"/>
    <mergeCell ref="C67:E67"/>
    <mergeCell ref="C68:F68"/>
    <mergeCell ref="C69:F69"/>
    <mergeCell ref="C70:F70"/>
    <mergeCell ref="C78:E78"/>
    <mergeCell ref="C79:F79"/>
    <mergeCell ref="C80:F80"/>
    <mergeCell ref="C81:F81"/>
    <mergeCell ref="C89:E89"/>
    <mergeCell ref="C90:F90"/>
    <mergeCell ref="D106:E106"/>
    <mergeCell ref="C94:F94"/>
    <mergeCell ref="C95:E95"/>
    <mergeCell ref="D96:E96"/>
    <mergeCell ref="D97:E97"/>
    <mergeCell ref="C98:E98"/>
    <mergeCell ref="C99:F99"/>
    <mergeCell ref="C100:F100"/>
    <mergeCell ref="C101:F101"/>
    <mergeCell ref="D102:E102"/>
    <mergeCell ref="D103:E103"/>
    <mergeCell ref="D105:E105"/>
    <mergeCell ref="C107:E107"/>
    <mergeCell ref="C108:F108"/>
    <mergeCell ref="C109:E109"/>
    <mergeCell ref="C110:F110"/>
    <mergeCell ref="C111:F111"/>
    <mergeCell ref="C112:F112"/>
    <mergeCell ref="D116:F116"/>
    <mergeCell ref="E117:E119"/>
    <mergeCell ref="F117:F119"/>
    <mergeCell ref="C120:E120"/>
    <mergeCell ref="C121:F121"/>
    <mergeCell ref="C129:E129"/>
    <mergeCell ref="D130:E130"/>
    <mergeCell ref="C131:E131"/>
    <mergeCell ref="C123:F123"/>
    <mergeCell ref="D124:E124"/>
    <mergeCell ref="D125:E125"/>
    <mergeCell ref="D126:E126"/>
    <mergeCell ref="D127:E127"/>
    <mergeCell ref="D128:E128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420A9-FDCA-4621-83A7-C205D0B6582C}">
  <dimension ref="B4:K132"/>
  <sheetViews>
    <sheetView topLeftCell="B103" workbookViewId="0">
      <selection activeCell="K22" sqref="K22"/>
    </sheetView>
  </sheetViews>
  <sheetFormatPr defaultColWidth="9.140625" defaultRowHeight="15" x14ac:dyDescent="0.25"/>
  <cols>
    <col min="2" max="2" width="31.85546875" customWidth="1"/>
    <col min="4" max="4" width="57" bestFit="1" customWidth="1"/>
    <col min="5" max="5" width="15.85546875" customWidth="1"/>
    <col min="6" max="6" width="11.42578125" bestFit="1" customWidth="1"/>
    <col min="9" max="9" width="57" bestFit="1" customWidth="1"/>
    <col min="10" max="10" width="15.85546875" customWidth="1"/>
    <col min="11" max="11" width="11.42578125" bestFit="1" customWidth="1"/>
  </cols>
  <sheetData>
    <row r="4" spans="3:11" x14ac:dyDescent="0.25">
      <c r="C4" s="169" t="s">
        <v>224</v>
      </c>
      <c r="D4" s="169"/>
      <c r="E4" s="169"/>
      <c r="F4" s="169"/>
      <c r="H4" s="169" t="s">
        <v>224</v>
      </c>
      <c r="I4" s="169"/>
      <c r="J4" s="169"/>
      <c r="K4" s="169"/>
    </row>
    <row r="5" spans="3:11" x14ac:dyDescent="0.25">
      <c r="C5" s="170" t="s">
        <v>35</v>
      </c>
      <c r="D5" s="170"/>
      <c r="E5" s="170"/>
      <c r="F5" s="170"/>
      <c r="H5" s="170" t="s">
        <v>35</v>
      </c>
      <c r="I5" s="170"/>
      <c r="J5" s="170"/>
      <c r="K5" s="170"/>
    </row>
    <row r="6" spans="3:11" x14ac:dyDescent="0.25">
      <c r="C6" s="171" t="s">
        <v>36</v>
      </c>
      <c r="D6" s="171"/>
      <c r="E6" s="171"/>
      <c r="F6" s="171"/>
      <c r="H6" s="171" t="s">
        <v>36</v>
      </c>
      <c r="I6" s="171"/>
      <c r="J6" s="171"/>
      <c r="K6" s="171"/>
    </row>
    <row r="7" spans="3:11" x14ac:dyDescent="0.25">
      <c r="C7" s="6" t="s">
        <v>37</v>
      </c>
      <c r="D7" s="7" t="s">
        <v>38</v>
      </c>
      <c r="E7" s="172"/>
      <c r="F7" s="173"/>
      <c r="H7" s="6" t="s">
        <v>37</v>
      </c>
      <c r="I7" s="7" t="s">
        <v>38</v>
      </c>
      <c r="J7" s="172"/>
      <c r="K7" s="173"/>
    </row>
    <row r="8" spans="3:11" x14ac:dyDescent="0.25">
      <c r="C8" s="6" t="s">
        <v>39</v>
      </c>
      <c r="D8" s="7" t="s">
        <v>40</v>
      </c>
      <c r="E8" s="176" t="s">
        <v>41</v>
      </c>
      <c r="F8" s="176"/>
      <c r="H8" s="6" t="s">
        <v>39</v>
      </c>
      <c r="I8" s="7" t="s">
        <v>40</v>
      </c>
      <c r="J8" s="176" t="s">
        <v>41</v>
      </c>
      <c r="K8" s="176"/>
    </row>
    <row r="9" spans="3:11" x14ac:dyDescent="0.25">
      <c r="C9" s="8" t="s">
        <v>42</v>
      </c>
      <c r="D9" s="9" t="s">
        <v>43</v>
      </c>
      <c r="E9" s="45" t="s">
        <v>154</v>
      </c>
      <c r="F9" s="46">
        <v>2025</v>
      </c>
      <c r="H9" s="8" t="s">
        <v>42</v>
      </c>
      <c r="I9" s="9" t="s">
        <v>43</v>
      </c>
      <c r="J9" s="45" t="s">
        <v>154</v>
      </c>
      <c r="K9" s="46">
        <v>2025</v>
      </c>
    </row>
    <row r="10" spans="3:11" x14ac:dyDescent="0.25">
      <c r="C10" s="6" t="s">
        <v>44</v>
      </c>
      <c r="D10" s="7" t="s">
        <v>45</v>
      </c>
      <c r="E10" s="172" t="s">
        <v>46</v>
      </c>
      <c r="F10" s="173"/>
      <c r="H10" s="6" t="s">
        <v>44</v>
      </c>
      <c r="I10" s="7" t="s">
        <v>45</v>
      </c>
      <c r="J10" s="172" t="s">
        <v>46</v>
      </c>
      <c r="K10" s="173"/>
    </row>
    <row r="11" spans="3:11" x14ac:dyDescent="0.25">
      <c r="C11" s="6" t="s">
        <v>47</v>
      </c>
      <c r="D11" s="7" t="s">
        <v>48</v>
      </c>
      <c r="E11" s="172" t="s">
        <v>49</v>
      </c>
      <c r="F11" s="173"/>
      <c r="H11" s="6" t="s">
        <v>47</v>
      </c>
      <c r="I11" s="7" t="s">
        <v>48</v>
      </c>
      <c r="J11" s="172" t="s">
        <v>49</v>
      </c>
      <c r="K11" s="173"/>
    </row>
    <row r="12" spans="3:11" x14ac:dyDescent="0.25">
      <c r="C12" s="6" t="s">
        <v>50</v>
      </c>
      <c r="D12" s="7" t="s">
        <v>51</v>
      </c>
      <c r="E12" s="174" t="s">
        <v>218</v>
      </c>
      <c r="F12" s="175"/>
      <c r="H12" s="6" t="s">
        <v>50</v>
      </c>
      <c r="I12" s="7" t="s">
        <v>51</v>
      </c>
      <c r="J12" s="174" t="s">
        <v>218</v>
      </c>
      <c r="K12" s="175"/>
    </row>
    <row r="13" spans="3:11" x14ac:dyDescent="0.25">
      <c r="C13" s="6" t="s">
        <v>52</v>
      </c>
      <c r="D13" s="7" t="s">
        <v>53</v>
      </c>
      <c r="E13" s="172">
        <v>1</v>
      </c>
      <c r="F13" s="173"/>
      <c r="H13" s="6" t="s">
        <v>52</v>
      </c>
      <c r="I13" s="7" t="s">
        <v>53</v>
      </c>
      <c r="J13" s="172">
        <v>1</v>
      </c>
      <c r="K13" s="173"/>
    </row>
    <row r="14" spans="3:11" x14ac:dyDescent="0.25">
      <c r="C14" s="179" t="s">
        <v>224</v>
      </c>
      <c r="D14" s="179"/>
      <c r="E14" s="179"/>
      <c r="F14" s="179"/>
      <c r="H14" s="179" t="s">
        <v>224</v>
      </c>
      <c r="I14" s="179"/>
      <c r="J14" s="179"/>
      <c r="K14" s="179"/>
    </row>
    <row r="15" spans="3:11" x14ac:dyDescent="0.25">
      <c r="C15" s="180" t="s">
        <v>54</v>
      </c>
      <c r="D15" s="181"/>
      <c r="E15" s="181"/>
      <c r="F15" s="182"/>
      <c r="H15" s="180" t="s">
        <v>54</v>
      </c>
      <c r="I15" s="181"/>
      <c r="J15" s="181"/>
      <c r="K15" s="182"/>
    </row>
    <row r="16" spans="3:11" x14ac:dyDescent="0.25">
      <c r="C16" s="176" t="s">
        <v>55</v>
      </c>
      <c r="D16" s="176"/>
      <c r="E16" s="176"/>
      <c r="F16" s="176"/>
      <c r="H16" s="176" t="s">
        <v>55</v>
      </c>
      <c r="I16" s="176"/>
      <c r="J16" s="176"/>
      <c r="K16" s="176"/>
    </row>
    <row r="17" spans="3:11" x14ac:dyDescent="0.25">
      <c r="C17" s="6">
        <v>1</v>
      </c>
      <c r="D17" s="7" t="s">
        <v>56</v>
      </c>
      <c r="E17" s="172" t="s">
        <v>225</v>
      </c>
      <c r="F17" s="173" t="s">
        <v>57</v>
      </c>
      <c r="H17" s="6">
        <v>1</v>
      </c>
      <c r="I17" s="7" t="s">
        <v>56</v>
      </c>
      <c r="J17" s="172" t="s">
        <v>225</v>
      </c>
      <c r="K17" s="173" t="s">
        <v>57</v>
      </c>
    </row>
    <row r="18" spans="3:11" x14ac:dyDescent="0.25">
      <c r="C18" s="6"/>
      <c r="D18" s="10" t="s">
        <v>194</v>
      </c>
      <c r="E18" s="172">
        <v>1</v>
      </c>
      <c r="F18" s="173">
        <v>1</v>
      </c>
      <c r="H18" s="6"/>
      <c r="I18" s="10" t="s">
        <v>194</v>
      </c>
      <c r="J18" s="172">
        <v>1</v>
      </c>
      <c r="K18" s="173">
        <v>1</v>
      </c>
    </row>
    <row r="19" spans="3:11" ht="39" customHeight="1" x14ac:dyDescent="0.25">
      <c r="C19" s="6">
        <v>2</v>
      </c>
      <c r="D19" s="11" t="s">
        <v>58</v>
      </c>
      <c r="E19" s="177" t="s">
        <v>196</v>
      </c>
      <c r="F19" s="178"/>
      <c r="H19" s="6">
        <v>2</v>
      </c>
      <c r="I19" s="11" t="s">
        <v>58</v>
      </c>
      <c r="J19" s="177" t="s">
        <v>196</v>
      </c>
      <c r="K19" s="178"/>
    </row>
    <row r="20" spans="3:11" x14ac:dyDescent="0.25">
      <c r="C20" s="176" t="s">
        <v>59</v>
      </c>
      <c r="D20" s="176"/>
      <c r="E20" s="176"/>
      <c r="F20" s="176"/>
      <c r="H20" s="176" t="s">
        <v>59</v>
      </c>
      <c r="I20" s="176"/>
      <c r="J20" s="176"/>
      <c r="K20" s="176"/>
    </row>
    <row r="21" spans="3:11" x14ac:dyDescent="0.25">
      <c r="C21" s="6">
        <v>3</v>
      </c>
      <c r="D21" s="183" t="s">
        <v>1159</v>
      </c>
      <c r="E21" s="184"/>
      <c r="F21" s="31">
        <v>2795.96</v>
      </c>
      <c r="H21" s="6">
        <v>3</v>
      </c>
      <c r="I21" s="183" t="s">
        <v>1159</v>
      </c>
      <c r="J21" s="184"/>
      <c r="K21" s="31">
        <v>2795.96</v>
      </c>
    </row>
    <row r="22" spans="3:11" x14ac:dyDescent="0.25">
      <c r="C22" s="6">
        <v>4</v>
      </c>
      <c r="D22" s="183" t="s">
        <v>61</v>
      </c>
      <c r="E22" s="184"/>
      <c r="F22" s="32" t="s">
        <v>154</v>
      </c>
      <c r="H22" s="6">
        <v>4</v>
      </c>
      <c r="I22" s="183" t="s">
        <v>61</v>
      </c>
      <c r="J22" s="184"/>
      <c r="K22" s="32" t="s">
        <v>154</v>
      </c>
    </row>
    <row r="23" spans="3:11" x14ac:dyDescent="0.25">
      <c r="C23" s="6">
        <v>5</v>
      </c>
      <c r="D23" s="183" t="s">
        <v>62</v>
      </c>
      <c r="E23" s="184"/>
      <c r="F23" s="33">
        <v>45658</v>
      </c>
      <c r="H23" s="6">
        <v>5</v>
      </c>
      <c r="I23" s="183" t="s">
        <v>62</v>
      </c>
      <c r="J23" s="184"/>
      <c r="K23" s="33">
        <v>45658</v>
      </c>
    </row>
    <row r="24" spans="3:11" x14ac:dyDescent="0.25">
      <c r="C24" s="172"/>
      <c r="D24" s="185"/>
      <c r="E24" s="185"/>
      <c r="F24" s="173"/>
      <c r="H24" s="172"/>
      <c r="I24" s="185"/>
      <c r="J24" s="185"/>
      <c r="K24" s="173"/>
    </row>
    <row r="25" spans="3:11" x14ac:dyDescent="0.25">
      <c r="C25" s="186" t="s">
        <v>63</v>
      </c>
      <c r="D25" s="186"/>
      <c r="E25" s="186"/>
      <c r="F25" s="186"/>
      <c r="H25" s="186" t="s">
        <v>63</v>
      </c>
      <c r="I25" s="186"/>
      <c r="J25" s="186"/>
      <c r="K25" s="186"/>
    </row>
    <row r="26" spans="3:11" x14ac:dyDescent="0.25">
      <c r="C26" s="196"/>
      <c r="D26" s="197"/>
      <c r="E26" s="197"/>
      <c r="F26" s="198"/>
      <c r="H26" s="196"/>
      <c r="I26" s="197"/>
      <c r="J26" s="197"/>
      <c r="K26" s="198"/>
    </row>
    <row r="27" spans="3:11" x14ac:dyDescent="0.25">
      <c r="C27" s="12">
        <v>1</v>
      </c>
      <c r="D27" s="199" t="s">
        <v>64</v>
      </c>
      <c r="E27" s="200"/>
      <c r="F27" s="12" t="s">
        <v>65</v>
      </c>
      <c r="H27" s="12">
        <v>1</v>
      </c>
      <c r="I27" s="199" t="s">
        <v>64</v>
      </c>
      <c r="J27" s="200"/>
      <c r="K27" s="12" t="s">
        <v>65</v>
      </c>
    </row>
    <row r="28" spans="3:11" x14ac:dyDescent="0.25">
      <c r="C28" s="6" t="s">
        <v>66</v>
      </c>
      <c r="D28" s="7" t="s">
        <v>67</v>
      </c>
      <c r="E28" s="34">
        <v>1</v>
      </c>
      <c r="F28" s="47">
        <f>F21</f>
        <v>2795.96</v>
      </c>
      <c r="H28" s="6" t="s">
        <v>66</v>
      </c>
      <c r="I28" s="7" t="s">
        <v>67</v>
      </c>
      <c r="J28" s="34">
        <v>1</v>
      </c>
      <c r="K28" s="47">
        <f>K21</f>
        <v>2795.96</v>
      </c>
    </row>
    <row r="29" spans="3:11" x14ac:dyDescent="0.25">
      <c r="C29" s="6" t="s">
        <v>39</v>
      </c>
      <c r="D29" s="7" t="s">
        <v>226</v>
      </c>
      <c r="E29" s="14">
        <v>0.3</v>
      </c>
      <c r="F29" s="15">
        <f>F28*E29</f>
        <v>838.78800000000001</v>
      </c>
      <c r="H29" s="6" t="s">
        <v>39</v>
      </c>
      <c r="I29" s="7" t="s">
        <v>226</v>
      </c>
      <c r="J29" s="14">
        <v>0.3</v>
      </c>
      <c r="K29" s="15">
        <f>K28*J29</f>
        <v>838.78800000000001</v>
      </c>
    </row>
    <row r="30" spans="3:11" x14ac:dyDescent="0.25">
      <c r="C30" s="6" t="s">
        <v>42</v>
      </c>
      <c r="D30" s="7" t="s">
        <v>69</v>
      </c>
      <c r="E30" s="14">
        <v>0</v>
      </c>
      <c r="F30" s="16">
        <v>0</v>
      </c>
      <c r="H30" s="6" t="s">
        <v>42</v>
      </c>
      <c r="I30" s="7" t="s">
        <v>69</v>
      </c>
      <c r="J30" s="14">
        <v>0</v>
      </c>
      <c r="K30" s="16">
        <v>0</v>
      </c>
    </row>
    <row r="31" spans="3:11" x14ac:dyDescent="0.25">
      <c r="C31" s="6" t="s">
        <v>44</v>
      </c>
      <c r="D31" s="7" t="s">
        <v>70</v>
      </c>
      <c r="E31" s="14">
        <v>0</v>
      </c>
      <c r="F31" s="16">
        <v>0</v>
      </c>
      <c r="H31" s="6" t="s">
        <v>44</v>
      </c>
      <c r="I31" s="7" t="s">
        <v>70</v>
      </c>
      <c r="J31" s="14">
        <v>0</v>
      </c>
      <c r="K31" s="16">
        <v>0</v>
      </c>
    </row>
    <row r="32" spans="3:11" x14ac:dyDescent="0.25">
      <c r="C32" s="6" t="s">
        <v>47</v>
      </c>
      <c r="D32" s="7" t="s">
        <v>71</v>
      </c>
      <c r="E32" s="14">
        <v>0</v>
      </c>
      <c r="F32" s="16">
        <v>0</v>
      </c>
      <c r="H32" s="6" t="s">
        <v>47</v>
      </c>
      <c r="I32" s="7" t="s">
        <v>71</v>
      </c>
      <c r="J32" s="14">
        <v>0</v>
      </c>
      <c r="K32" s="16">
        <v>0</v>
      </c>
    </row>
    <row r="33" spans="3:11" x14ac:dyDescent="0.25">
      <c r="C33" s="6" t="s">
        <v>50</v>
      </c>
      <c r="D33" s="7" t="s">
        <v>227</v>
      </c>
      <c r="E33" s="14">
        <v>0</v>
      </c>
      <c r="F33" s="53">
        <v>0</v>
      </c>
      <c r="H33" s="6" t="s">
        <v>50</v>
      </c>
      <c r="I33" s="7" t="s">
        <v>227</v>
      </c>
      <c r="J33" s="14">
        <v>0</v>
      </c>
      <c r="K33" s="53">
        <v>0</v>
      </c>
    </row>
    <row r="34" spans="3:11" x14ac:dyDescent="0.25">
      <c r="C34" s="6" t="s">
        <v>52</v>
      </c>
      <c r="D34" s="7" t="s">
        <v>72</v>
      </c>
      <c r="E34" s="14">
        <v>0</v>
      </c>
      <c r="F34" s="16">
        <v>0</v>
      </c>
      <c r="H34" s="6" t="s">
        <v>52</v>
      </c>
      <c r="I34" s="7" t="s">
        <v>72</v>
      </c>
      <c r="J34" s="14">
        <v>0</v>
      </c>
      <c r="K34" s="16">
        <v>0</v>
      </c>
    </row>
    <row r="35" spans="3:11" x14ac:dyDescent="0.25">
      <c r="C35" s="199" t="s">
        <v>73</v>
      </c>
      <c r="D35" s="201"/>
      <c r="E35" s="200"/>
      <c r="F35" s="17">
        <f>SUM(F28:F34)</f>
        <v>3634.748</v>
      </c>
      <c r="H35" s="199" t="s">
        <v>73</v>
      </c>
      <c r="I35" s="201"/>
      <c r="J35" s="200"/>
      <c r="K35" s="17">
        <f>SUM(K28:K34)</f>
        <v>3634.748</v>
      </c>
    </row>
    <row r="36" spans="3:11" x14ac:dyDescent="0.25">
      <c r="C36" s="189"/>
      <c r="D36" s="189"/>
      <c r="E36" s="189"/>
      <c r="F36" s="189"/>
      <c r="H36" s="189"/>
      <c r="I36" s="189"/>
      <c r="J36" s="189"/>
      <c r="K36" s="189"/>
    </row>
    <row r="37" spans="3:11" x14ac:dyDescent="0.25">
      <c r="C37" s="190" t="s">
        <v>74</v>
      </c>
      <c r="D37" s="191"/>
      <c r="E37" s="191"/>
      <c r="F37" s="192"/>
      <c r="H37" s="190" t="s">
        <v>74</v>
      </c>
      <c r="I37" s="191"/>
      <c r="J37" s="191"/>
      <c r="K37" s="192"/>
    </row>
    <row r="38" spans="3:11" x14ac:dyDescent="0.25">
      <c r="C38" s="193"/>
      <c r="D38" s="194"/>
      <c r="E38" s="194"/>
      <c r="F38" s="195"/>
      <c r="H38" s="193"/>
      <c r="I38" s="194"/>
      <c r="J38" s="194"/>
      <c r="K38" s="195"/>
    </row>
    <row r="39" spans="3:11" x14ac:dyDescent="0.25">
      <c r="C39" s="18" t="s">
        <v>75</v>
      </c>
      <c r="D39" s="19" t="s">
        <v>76</v>
      </c>
      <c r="E39" s="18" t="s">
        <v>77</v>
      </c>
      <c r="F39" s="18" t="s">
        <v>65</v>
      </c>
      <c r="H39" s="18" t="s">
        <v>75</v>
      </c>
      <c r="I39" s="19" t="s">
        <v>76</v>
      </c>
      <c r="J39" s="18" t="s">
        <v>77</v>
      </c>
      <c r="K39" s="18" t="s">
        <v>65</v>
      </c>
    </row>
    <row r="40" spans="3:11" x14ac:dyDescent="0.25">
      <c r="C40" s="20" t="s">
        <v>66</v>
      </c>
      <c r="D40" s="21" t="s">
        <v>78</v>
      </c>
      <c r="E40" s="44">
        <f>1/12</f>
        <v>8.3333333333333329E-2</v>
      </c>
      <c r="F40" s="20">
        <f>F35*E40</f>
        <v>302.89566666666667</v>
      </c>
      <c r="H40" s="20" t="s">
        <v>66</v>
      </c>
      <c r="I40" s="21" t="s">
        <v>78</v>
      </c>
      <c r="J40" s="44">
        <f>1/12</f>
        <v>8.3333333333333329E-2</v>
      </c>
      <c r="K40" s="20">
        <f>K35*J40</f>
        <v>302.89566666666667</v>
      </c>
    </row>
    <row r="41" spans="3:11" x14ac:dyDescent="0.25">
      <c r="C41" s="20" t="s">
        <v>39</v>
      </c>
      <c r="D41" s="21" t="s">
        <v>79</v>
      </c>
      <c r="E41" s="28">
        <f>(1/12)+(1/(12*3))</f>
        <v>0.1111111111111111</v>
      </c>
      <c r="F41" s="20">
        <f>E41*F35</f>
        <v>403.86088888888889</v>
      </c>
      <c r="H41" s="20" t="s">
        <v>39</v>
      </c>
      <c r="I41" s="21" t="s">
        <v>79</v>
      </c>
      <c r="J41" s="28">
        <f>(1/12)+(1/(12*3))</f>
        <v>0.1111111111111111</v>
      </c>
      <c r="K41" s="20">
        <f>J41*K35</f>
        <v>403.86088888888889</v>
      </c>
    </row>
    <row r="42" spans="3:11" x14ac:dyDescent="0.25">
      <c r="C42" s="205" t="s">
        <v>80</v>
      </c>
      <c r="D42" s="206"/>
      <c r="E42" s="207"/>
      <c r="F42" s="22">
        <f>SUM(F40:F41)</f>
        <v>706.75655555555556</v>
      </c>
      <c r="H42" s="205" t="s">
        <v>80</v>
      </c>
      <c r="I42" s="206"/>
      <c r="J42" s="207"/>
      <c r="K42" s="22">
        <f>SUM(K40:K41)</f>
        <v>706.75655555555556</v>
      </c>
    </row>
    <row r="43" spans="3:11" x14ac:dyDescent="0.25">
      <c r="C43" s="193"/>
      <c r="D43" s="194"/>
      <c r="E43" s="194"/>
      <c r="F43" s="195"/>
      <c r="H43" s="193"/>
      <c r="I43" s="194"/>
      <c r="J43" s="194"/>
      <c r="K43" s="195"/>
    </row>
    <row r="44" spans="3:11" x14ac:dyDescent="0.25">
      <c r="C44" s="22" t="s">
        <v>81</v>
      </c>
      <c r="D44" s="23" t="s">
        <v>82</v>
      </c>
      <c r="E44" s="22" t="s">
        <v>77</v>
      </c>
      <c r="F44" s="22" t="s">
        <v>65</v>
      </c>
      <c r="H44" s="22" t="s">
        <v>81</v>
      </c>
      <c r="I44" s="23" t="s">
        <v>82</v>
      </c>
      <c r="J44" s="22" t="s">
        <v>77</v>
      </c>
      <c r="K44" s="22" t="s">
        <v>65</v>
      </c>
    </row>
    <row r="45" spans="3:11" x14ac:dyDescent="0.25">
      <c r="C45" s="24" t="s">
        <v>66</v>
      </c>
      <c r="D45" s="25" t="s">
        <v>83</v>
      </c>
      <c r="E45" s="35">
        <f>2/10</f>
        <v>0.2</v>
      </c>
      <c r="F45" s="20">
        <f>E45*($F$35+$F$42)</f>
        <v>868.30091111111108</v>
      </c>
      <c r="H45" s="24" t="s">
        <v>66</v>
      </c>
      <c r="I45" s="25" t="s">
        <v>83</v>
      </c>
      <c r="J45" s="35">
        <v>0</v>
      </c>
      <c r="K45" s="20">
        <f>J45*($F$35+$F$42)</f>
        <v>0</v>
      </c>
    </row>
    <row r="46" spans="3:11" x14ac:dyDescent="0.25">
      <c r="C46" s="24" t="s">
        <v>39</v>
      </c>
      <c r="D46" s="25" t="s">
        <v>84</v>
      </c>
      <c r="E46" s="35">
        <f>2.5/100</f>
        <v>2.5000000000000001E-2</v>
      </c>
      <c r="F46" s="20">
        <f t="shared" ref="F46:F52" si="0">E46*($F$35+$F$42)</f>
        <v>108.53761388888888</v>
      </c>
      <c r="H46" s="24" t="s">
        <v>39</v>
      </c>
      <c r="I46" s="25" t="s">
        <v>84</v>
      </c>
      <c r="J46" s="35">
        <f>2.5/100</f>
        <v>2.5000000000000001E-2</v>
      </c>
      <c r="K46" s="20">
        <f t="shared" ref="K46:K52" si="1">J46*($F$35+$F$42)</f>
        <v>108.53761388888888</v>
      </c>
    </row>
    <row r="47" spans="3:11" x14ac:dyDescent="0.25">
      <c r="C47" s="24" t="s">
        <v>42</v>
      </c>
      <c r="D47" s="25" t="s">
        <v>85</v>
      </c>
      <c r="E47" s="35">
        <f>3/100</f>
        <v>0.03</v>
      </c>
      <c r="F47" s="20">
        <f t="shared" si="0"/>
        <v>130.24513666666667</v>
      </c>
      <c r="H47" s="24" t="s">
        <v>42</v>
      </c>
      <c r="I47" s="25" t="s">
        <v>85</v>
      </c>
      <c r="J47" s="35">
        <f>3/100</f>
        <v>0.03</v>
      </c>
      <c r="K47" s="20">
        <f t="shared" si="1"/>
        <v>130.24513666666667</v>
      </c>
    </row>
    <row r="48" spans="3:11" x14ac:dyDescent="0.25">
      <c r="C48" s="24" t="s">
        <v>44</v>
      </c>
      <c r="D48" s="25" t="s">
        <v>86</v>
      </c>
      <c r="E48" s="35">
        <f>1.5/100</f>
        <v>1.4999999999999999E-2</v>
      </c>
      <c r="F48" s="20">
        <f t="shared" si="0"/>
        <v>65.122568333333334</v>
      </c>
      <c r="H48" s="24" t="s">
        <v>44</v>
      </c>
      <c r="I48" s="25" t="s">
        <v>86</v>
      </c>
      <c r="J48" s="35">
        <f>1.5/100</f>
        <v>1.4999999999999999E-2</v>
      </c>
      <c r="K48" s="20">
        <f t="shared" si="1"/>
        <v>65.122568333333334</v>
      </c>
    </row>
    <row r="49" spans="3:11" x14ac:dyDescent="0.25">
      <c r="C49" s="24" t="s">
        <v>47</v>
      </c>
      <c r="D49" s="25" t="s">
        <v>87</v>
      </c>
      <c r="E49" s="35">
        <f>1/100</f>
        <v>0.01</v>
      </c>
      <c r="F49" s="20">
        <f t="shared" si="0"/>
        <v>43.415045555555551</v>
      </c>
      <c r="H49" s="24" t="s">
        <v>47</v>
      </c>
      <c r="I49" s="25" t="s">
        <v>87</v>
      </c>
      <c r="J49" s="35">
        <f>1/100</f>
        <v>0.01</v>
      </c>
      <c r="K49" s="20">
        <f t="shared" si="1"/>
        <v>43.415045555555551</v>
      </c>
    </row>
    <row r="50" spans="3:11" x14ac:dyDescent="0.25">
      <c r="C50" s="24" t="s">
        <v>50</v>
      </c>
      <c r="D50" s="25" t="s">
        <v>88</v>
      </c>
      <c r="E50" s="35">
        <f>0.6/100</f>
        <v>6.0000000000000001E-3</v>
      </c>
      <c r="F50" s="20">
        <f t="shared" si="0"/>
        <v>26.049027333333331</v>
      </c>
      <c r="H50" s="24" t="s">
        <v>50</v>
      </c>
      <c r="I50" s="25" t="s">
        <v>88</v>
      </c>
      <c r="J50" s="35">
        <f>0.6/100</f>
        <v>6.0000000000000001E-3</v>
      </c>
      <c r="K50" s="20">
        <f t="shared" si="1"/>
        <v>26.049027333333331</v>
      </c>
    </row>
    <row r="51" spans="3:11" x14ac:dyDescent="0.25">
      <c r="C51" s="24" t="s">
        <v>52</v>
      </c>
      <c r="D51" s="25" t="s">
        <v>89</v>
      </c>
      <c r="E51" s="35">
        <f>0.2/100</f>
        <v>2E-3</v>
      </c>
      <c r="F51" s="20">
        <f t="shared" si="0"/>
        <v>8.6830091111111098</v>
      </c>
      <c r="H51" s="24" t="s">
        <v>52</v>
      </c>
      <c r="I51" s="25" t="s">
        <v>89</v>
      </c>
      <c r="J51" s="35">
        <f>0.2/100</f>
        <v>2E-3</v>
      </c>
      <c r="K51" s="20">
        <f t="shared" si="1"/>
        <v>8.6830091111111098</v>
      </c>
    </row>
    <row r="52" spans="3:11" x14ac:dyDescent="0.25">
      <c r="C52" s="24" t="s">
        <v>90</v>
      </c>
      <c r="D52" s="25" t="s">
        <v>91</v>
      </c>
      <c r="E52" s="35">
        <f>8/100</f>
        <v>0.08</v>
      </c>
      <c r="F52" s="20">
        <f t="shared" si="0"/>
        <v>347.32036444444441</v>
      </c>
      <c r="H52" s="24" t="s">
        <v>90</v>
      </c>
      <c r="I52" s="25" t="s">
        <v>91</v>
      </c>
      <c r="J52" s="35">
        <f>8/100</f>
        <v>0.08</v>
      </c>
      <c r="K52" s="20">
        <f t="shared" si="1"/>
        <v>347.32036444444441</v>
      </c>
    </row>
    <row r="53" spans="3:11" x14ac:dyDescent="0.25">
      <c r="C53" s="202" t="s">
        <v>80</v>
      </c>
      <c r="D53" s="204"/>
      <c r="E53" s="36">
        <v>0.36800000000000005</v>
      </c>
      <c r="F53" s="22">
        <f>SUM(F45:F52)</f>
        <v>1597.673676444444</v>
      </c>
      <c r="H53" s="202" t="s">
        <v>80</v>
      </c>
      <c r="I53" s="204"/>
      <c r="J53" s="36">
        <v>0.16800000000000001</v>
      </c>
      <c r="K53" s="22">
        <f>SUM(K45:K52)</f>
        <v>729.37276533333329</v>
      </c>
    </row>
    <row r="54" spans="3:11" x14ac:dyDescent="0.25">
      <c r="C54" s="193"/>
      <c r="D54" s="194"/>
      <c r="E54" s="194"/>
      <c r="F54" s="195"/>
      <c r="H54" s="193"/>
      <c r="I54" s="194"/>
      <c r="J54" s="194"/>
      <c r="K54" s="195"/>
    </row>
    <row r="55" spans="3:11" x14ac:dyDescent="0.25">
      <c r="C55" s="22" t="s">
        <v>92</v>
      </c>
      <c r="D55" s="23" t="s">
        <v>93</v>
      </c>
      <c r="E55" s="22" t="s">
        <v>94</v>
      </c>
      <c r="F55" s="22" t="s">
        <v>65</v>
      </c>
      <c r="H55" s="22" t="s">
        <v>92</v>
      </c>
      <c r="I55" s="23" t="s">
        <v>93</v>
      </c>
      <c r="J55" s="22" t="s">
        <v>94</v>
      </c>
      <c r="K55" s="22" t="s">
        <v>65</v>
      </c>
    </row>
    <row r="56" spans="3:11" x14ac:dyDescent="0.25">
      <c r="C56" s="24" t="s">
        <v>66</v>
      </c>
      <c r="D56" s="25" t="s">
        <v>197</v>
      </c>
      <c r="E56" s="37">
        <v>4.95</v>
      </c>
      <c r="F56" s="38">
        <f>(22*4.95*2)-(F28*0.06)</f>
        <v>50.042400000000015</v>
      </c>
      <c r="H56" s="24" t="s">
        <v>66</v>
      </c>
      <c r="I56" s="25" t="s">
        <v>197</v>
      </c>
      <c r="J56" s="37">
        <v>4.95</v>
      </c>
      <c r="K56" s="38">
        <f>(22*4.95*2)-(K28*0.06)</f>
        <v>50.042400000000015</v>
      </c>
    </row>
    <row r="57" spans="3:11" x14ac:dyDescent="0.25">
      <c r="C57" s="24" t="s">
        <v>39</v>
      </c>
      <c r="D57" s="154" t="s">
        <v>1146</v>
      </c>
      <c r="E57" s="37">
        <v>23.76</v>
      </c>
      <c r="F57" s="38">
        <f>23.76*22*0.95</f>
        <v>496.584</v>
      </c>
      <c r="H57" s="24" t="s">
        <v>39</v>
      </c>
      <c r="I57" s="154" t="s">
        <v>1146</v>
      </c>
      <c r="J57" s="37">
        <v>23.76</v>
      </c>
      <c r="K57" s="38">
        <f>23.76*22*0.95</f>
        <v>496.584</v>
      </c>
    </row>
    <row r="58" spans="3:11" x14ac:dyDescent="0.25">
      <c r="C58" s="24" t="s">
        <v>42</v>
      </c>
      <c r="D58" s="154" t="s">
        <v>1147</v>
      </c>
      <c r="E58" s="37">
        <v>164.16</v>
      </c>
      <c r="F58" s="20">
        <f>E58*1</f>
        <v>164.16</v>
      </c>
      <c r="H58" s="24" t="s">
        <v>42</v>
      </c>
      <c r="I58" s="154" t="s">
        <v>1147</v>
      </c>
      <c r="J58" s="37">
        <v>164.16</v>
      </c>
      <c r="K58" s="20">
        <f>J58*1</f>
        <v>164.16</v>
      </c>
    </row>
    <row r="59" spans="3:11" x14ac:dyDescent="0.25">
      <c r="C59" s="24" t="s">
        <v>44</v>
      </c>
      <c r="D59" s="155" t="s">
        <v>1148</v>
      </c>
      <c r="E59" s="37">
        <v>59</v>
      </c>
      <c r="F59" s="20">
        <f>E59</f>
        <v>59</v>
      </c>
      <c r="H59" s="24" t="s">
        <v>44</v>
      </c>
      <c r="I59" s="155" t="s">
        <v>1148</v>
      </c>
      <c r="J59" s="37">
        <v>59</v>
      </c>
      <c r="K59" s="20">
        <f>J59</f>
        <v>59</v>
      </c>
    </row>
    <row r="60" spans="3:11" x14ac:dyDescent="0.25">
      <c r="C60" s="24" t="s">
        <v>47</v>
      </c>
      <c r="D60" s="25" t="s">
        <v>97</v>
      </c>
      <c r="E60" s="37"/>
      <c r="F60" s="20">
        <v>0</v>
      </c>
      <c r="H60" s="24" t="s">
        <v>47</v>
      </c>
      <c r="I60" s="25" t="s">
        <v>97</v>
      </c>
      <c r="J60" s="37"/>
      <c r="K60" s="20">
        <v>0</v>
      </c>
    </row>
    <row r="61" spans="3:11" x14ac:dyDescent="0.25">
      <c r="C61" s="202" t="s">
        <v>98</v>
      </c>
      <c r="D61" s="203"/>
      <c r="E61" s="204"/>
      <c r="F61" s="22">
        <f>SUM(F56:F60)</f>
        <v>769.78639999999996</v>
      </c>
      <c r="H61" s="202" t="s">
        <v>98</v>
      </c>
      <c r="I61" s="203"/>
      <c r="J61" s="204"/>
      <c r="K61" s="22">
        <f>SUM(K56:K60)</f>
        <v>769.78639999999996</v>
      </c>
    </row>
    <row r="62" spans="3:11" x14ac:dyDescent="0.25">
      <c r="C62" s="193"/>
      <c r="D62" s="194"/>
      <c r="E62" s="194"/>
      <c r="F62" s="195"/>
      <c r="H62" s="193"/>
      <c r="I62" s="194"/>
      <c r="J62" s="194"/>
      <c r="K62" s="195"/>
    </row>
    <row r="63" spans="3:11" x14ac:dyDescent="0.25">
      <c r="C63" s="202" t="s">
        <v>99</v>
      </c>
      <c r="D63" s="203"/>
      <c r="E63" s="204"/>
      <c r="F63" s="22" t="s">
        <v>65</v>
      </c>
      <c r="H63" s="202" t="s">
        <v>99</v>
      </c>
      <c r="I63" s="203"/>
      <c r="J63" s="204"/>
      <c r="K63" s="22" t="s">
        <v>65</v>
      </c>
    </row>
    <row r="64" spans="3:11" x14ac:dyDescent="0.25">
      <c r="C64" s="24" t="s">
        <v>100</v>
      </c>
      <c r="D64" s="208" t="s">
        <v>76</v>
      </c>
      <c r="E64" s="209"/>
      <c r="F64" s="20">
        <f>F42</f>
        <v>706.75655555555556</v>
      </c>
      <c r="H64" s="24" t="s">
        <v>100</v>
      </c>
      <c r="I64" s="208" t="s">
        <v>76</v>
      </c>
      <c r="J64" s="209"/>
      <c r="K64" s="20">
        <f>K42</f>
        <v>706.75655555555556</v>
      </c>
    </row>
    <row r="65" spans="2:11" x14ac:dyDescent="0.25">
      <c r="C65" s="24" t="s">
        <v>81</v>
      </c>
      <c r="D65" s="208" t="s">
        <v>82</v>
      </c>
      <c r="E65" s="209"/>
      <c r="F65" s="20">
        <f>F53</f>
        <v>1597.673676444444</v>
      </c>
      <c r="H65" s="24" t="s">
        <v>81</v>
      </c>
      <c r="I65" s="208" t="s">
        <v>82</v>
      </c>
      <c r="J65" s="209"/>
      <c r="K65" s="20">
        <f>K53</f>
        <v>729.37276533333329</v>
      </c>
    </row>
    <row r="66" spans="2:11" x14ac:dyDescent="0.25">
      <c r="C66" s="24" t="s">
        <v>101</v>
      </c>
      <c r="D66" s="208" t="s">
        <v>93</v>
      </c>
      <c r="E66" s="209"/>
      <c r="F66" s="20">
        <f>F61</f>
        <v>769.78639999999996</v>
      </c>
      <c r="H66" s="24" t="s">
        <v>101</v>
      </c>
      <c r="I66" s="208" t="s">
        <v>93</v>
      </c>
      <c r="J66" s="209"/>
      <c r="K66" s="20">
        <f>K61</f>
        <v>769.78639999999996</v>
      </c>
    </row>
    <row r="67" spans="2:11" x14ac:dyDescent="0.25">
      <c r="C67" s="202" t="s">
        <v>80</v>
      </c>
      <c r="D67" s="203"/>
      <c r="E67" s="204"/>
      <c r="F67" s="22">
        <f>SUM(F64:F66)</f>
        <v>3074.2166319999997</v>
      </c>
      <c r="H67" s="202" t="s">
        <v>80</v>
      </c>
      <c r="I67" s="203"/>
      <c r="J67" s="204"/>
      <c r="K67" s="22">
        <f>SUM(K64:K66)</f>
        <v>2205.9157208888887</v>
      </c>
    </row>
    <row r="68" spans="2:11" x14ac:dyDescent="0.25">
      <c r="C68" s="193"/>
      <c r="D68" s="194"/>
      <c r="E68" s="194"/>
      <c r="F68" s="195"/>
      <c r="H68" s="193"/>
      <c r="I68" s="194"/>
      <c r="J68" s="194"/>
      <c r="K68" s="195"/>
    </row>
    <row r="69" spans="2:11" x14ac:dyDescent="0.25">
      <c r="C69" s="190" t="s">
        <v>102</v>
      </c>
      <c r="D69" s="191"/>
      <c r="E69" s="191"/>
      <c r="F69" s="192"/>
      <c r="H69" s="190" t="s">
        <v>102</v>
      </c>
      <c r="I69" s="191"/>
      <c r="J69" s="191"/>
      <c r="K69" s="192"/>
    </row>
    <row r="70" spans="2:11" x14ac:dyDescent="0.25">
      <c r="C70" s="193"/>
      <c r="D70" s="194"/>
      <c r="E70" s="194"/>
      <c r="F70" s="195"/>
      <c r="H70" s="193"/>
      <c r="I70" s="194"/>
      <c r="J70" s="194"/>
      <c r="K70" s="195"/>
    </row>
    <row r="71" spans="2:11" x14ac:dyDescent="0.25">
      <c r="C71" s="12">
        <v>3</v>
      </c>
      <c r="D71" s="23" t="s">
        <v>103</v>
      </c>
      <c r="E71" s="22" t="s">
        <v>77</v>
      </c>
      <c r="F71" s="22" t="s">
        <v>65</v>
      </c>
      <c r="H71" s="12">
        <v>3</v>
      </c>
      <c r="I71" s="23" t="s">
        <v>103</v>
      </c>
      <c r="J71" s="22" t="s">
        <v>77</v>
      </c>
      <c r="K71" s="22" t="s">
        <v>65</v>
      </c>
    </row>
    <row r="72" spans="2:11" x14ac:dyDescent="0.25">
      <c r="B72" s="129" t="s">
        <v>201</v>
      </c>
      <c r="C72" s="24" t="s">
        <v>66</v>
      </c>
      <c r="D72" s="25" t="s">
        <v>104</v>
      </c>
      <c r="E72" s="35">
        <f>0.42/100</f>
        <v>4.1999999999999997E-3</v>
      </c>
      <c r="F72" s="20">
        <f>E72*F35</f>
        <v>15.2659416</v>
      </c>
      <c r="H72" s="24" t="s">
        <v>66</v>
      </c>
      <c r="I72" s="25" t="s">
        <v>104</v>
      </c>
      <c r="J72" s="35">
        <f>0.42/100</f>
        <v>4.1999999999999997E-3</v>
      </c>
      <c r="K72" s="20">
        <f>J72*K35</f>
        <v>15.2659416</v>
      </c>
    </row>
    <row r="73" spans="2:11" x14ac:dyDescent="0.25">
      <c r="B73" s="129" t="s">
        <v>1085</v>
      </c>
      <c r="C73" s="24" t="s">
        <v>39</v>
      </c>
      <c r="D73" s="25" t="s">
        <v>105</v>
      </c>
      <c r="E73" s="35">
        <f>0.08*E72</f>
        <v>3.3599999999999998E-4</v>
      </c>
      <c r="F73" s="20">
        <f>E73*F35</f>
        <v>1.2212753279999999</v>
      </c>
      <c r="H73" s="24" t="s">
        <v>39</v>
      </c>
      <c r="I73" s="25" t="s">
        <v>105</v>
      </c>
      <c r="J73" s="35">
        <f>0.08*J72</f>
        <v>3.3599999999999998E-4</v>
      </c>
      <c r="K73" s="20">
        <f>J73*K35</f>
        <v>1.2212753279999999</v>
      </c>
    </row>
    <row r="74" spans="2:11" x14ac:dyDescent="0.25">
      <c r="B74" s="129" t="s">
        <v>202</v>
      </c>
      <c r="C74" s="24" t="s">
        <v>42</v>
      </c>
      <c r="D74" s="25" t="s">
        <v>106</v>
      </c>
      <c r="E74" s="35">
        <f>0.4*0.08*0.05</f>
        <v>1.6000000000000001E-3</v>
      </c>
      <c r="F74" s="20">
        <f>F35*E74</f>
        <v>5.8155968000000007</v>
      </c>
      <c r="H74" s="24" t="s">
        <v>42</v>
      </c>
      <c r="I74" s="25" t="s">
        <v>106</v>
      </c>
      <c r="J74" s="35">
        <f>0.4*0.08*0.05</f>
        <v>1.6000000000000001E-3</v>
      </c>
      <c r="K74" s="20">
        <f>K35*J74</f>
        <v>5.8155968000000007</v>
      </c>
    </row>
    <row r="75" spans="2:11" x14ac:dyDescent="0.25">
      <c r="B75" s="129" t="s">
        <v>203</v>
      </c>
      <c r="C75" s="24" t="s">
        <v>44</v>
      </c>
      <c r="D75" s="25" t="s">
        <v>198</v>
      </c>
      <c r="E75" s="35">
        <f>((7/30)/12)</f>
        <v>1.9444444444444445E-2</v>
      </c>
      <c r="F75" s="20">
        <f>E75*F35</f>
        <v>70.675655555555551</v>
      </c>
      <c r="H75" s="24" t="s">
        <v>44</v>
      </c>
      <c r="I75" s="25" t="s">
        <v>198</v>
      </c>
      <c r="J75" s="35">
        <f>((7/30)/12)</f>
        <v>1.9444444444444445E-2</v>
      </c>
      <c r="K75" s="20">
        <f>J75*K35</f>
        <v>70.675655555555551</v>
      </c>
    </row>
    <row r="76" spans="2:11" ht="25.5" x14ac:dyDescent="0.25">
      <c r="B76" s="129" t="s">
        <v>1086</v>
      </c>
      <c r="C76" s="24" t="s">
        <v>47</v>
      </c>
      <c r="D76" s="25" t="s">
        <v>108</v>
      </c>
      <c r="E76" s="35">
        <f>0.368*E75</f>
        <v>7.1555555555555556E-3</v>
      </c>
      <c r="F76" s="20">
        <f>F35*E76</f>
        <v>26.008641244444444</v>
      </c>
      <c r="H76" s="24" t="s">
        <v>47</v>
      </c>
      <c r="I76" s="25" t="s">
        <v>108</v>
      </c>
      <c r="J76" s="35">
        <f>0.368*J75</f>
        <v>7.1555555555555556E-3</v>
      </c>
      <c r="K76" s="20">
        <f>K35*J76</f>
        <v>26.008641244444444</v>
      </c>
    </row>
    <row r="77" spans="2:11" x14ac:dyDescent="0.25">
      <c r="B77" s="129" t="s">
        <v>204</v>
      </c>
      <c r="C77" s="24" t="s">
        <v>50</v>
      </c>
      <c r="D77" s="25" t="s">
        <v>109</v>
      </c>
      <c r="E77" s="35">
        <f>0.4*0.08*0.95</f>
        <v>3.04E-2</v>
      </c>
      <c r="F77" s="20">
        <f>F35*E77</f>
        <v>110.49633919999999</v>
      </c>
      <c r="H77" s="24" t="s">
        <v>50</v>
      </c>
      <c r="I77" s="25" t="s">
        <v>109</v>
      </c>
      <c r="J77" s="35">
        <f>0.4*0.08*0.95</f>
        <v>3.04E-2</v>
      </c>
      <c r="K77" s="20">
        <f>K35*J77</f>
        <v>110.49633919999999</v>
      </c>
    </row>
    <row r="78" spans="2:11" x14ac:dyDescent="0.25">
      <c r="C78" s="202" t="s">
        <v>110</v>
      </c>
      <c r="D78" s="203"/>
      <c r="E78" s="204"/>
      <c r="F78" s="22">
        <f>SUM(F72:F77)</f>
        <v>229.48344972799998</v>
      </c>
      <c r="H78" s="202" t="s">
        <v>110</v>
      </c>
      <c r="I78" s="203"/>
      <c r="J78" s="204"/>
      <c r="K78" s="22">
        <f>SUM(K72:K77)</f>
        <v>229.48344972799998</v>
      </c>
    </row>
    <row r="79" spans="2:11" x14ac:dyDescent="0.25">
      <c r="C79" s="193"/>
      <c r="D79" s="194"/>
      <c r="E79" s="194"/>
      <c r="F79" s="195"/>
      <c r="H79" s="193"/>
      <c r="I79" s="194"/>
      <c r="J79" s="194"/>
      <c r="K79" s="195"/>
    </row>
    <row r="80" spans="2:11" x14ac:dyDescent="0.25">
      <c r="C80" s="190" t="s">
        <v>111</v>
      </c>
      <c r="D80" s="191"/>
      <c r="E80" s="191"/>
      <c r="F80" s="192"/>
      <c r="H80" s="190" t="s">
        <v>111</v>
      </c>
      <c r="I80" s="191"/>
      <c r="J80" s="191"/>
      <c r="K80" s="192"/>
    </row>
    <row r="81" spans="3:11" x14ac:dyDescent="0.25">
      <c r="C81" s="210"/>
      <c r="D81" s="211"/>
      <c r="E81" s="211"/>
      <c r="F81" s="212"/>
      <c r="H81" s="210"/>
      <c r="I81" s="211"/>
      <c r="J81" s="211"/>
      <c r="K81" s="212"/>
    </row>
    <row r="82" spans="3:11" x14ac:dyDescent="0.25">
      <c r="C82" s="22" t="s">
        <v>112</v>
      </c>
      <c r="D82" s="23" t="s">
        <v>113</v>
      </c>
      <c r="E82" s="26" t="s">
        <v>77</v>
      </c>
      <c r="F82" s="22" t="s">
        <v>65</v>
      </c>
      <c r="H82" s="22" t="s">
        <v>112</v>
      </c>
      <c r="I82" s="23" t="s">
        <v>113</v>
      </c>
      <c r="J82" s="26" t="s">
        <v>77</v>
      </c>
      <c r="K82" s="22" t="s">
        <v>65</v>
      </c>
    </row>
    <row r="83" spans="3:11" x14ac:dyDescent="0.25">
      <c r="C83" s="24" t="s">
        <v>66</v>
      </c>
      <c r="D83" s="25" t="s">
        <v>114</v>
      </c>
      <c r="E83" s="35">
        <f>(((1+1/3)/12)/12)</f>
        <v>9.2592592592592587E-3</v>
      </c>
      <c r="F83" s="20">
        <f>($F$78+$F$67+$F$35)*E83</f>
        <v>64.244889645629627</v>
      </c>
      <c r="H83" s="24" t="s">
        <v>66</v>
      </c>
      <c r="I83" s="25" t="s">
        <v>114</v>
      </c>
      <c r="J83" s="35">
        <f>(((1+1/3)/12)/12)</f>
        <v>9.2592592592592587E-3</v>
      </c>
      <c r="K83" s="20">
        <f>($F$78+$F$67+$F$35)*J83</f>
        <v>64.244889645629627</v>
      </c>
    </row>
    <row r="84" spans="3:11" x14ac:dyDescent="0.25">
      <c r="C84" s="24" t="s">
        <v>39</v>
      </c>
      <c r="D84" s="25" t="s">
        <v>115</v>
      </c>
      <c r="E84" s="35">
        <f>((2/30)/12)</f>
        <v>5.5555555555555558E-3</v>
      </c>
      <c r="F84" s="20">
        <f t="shared" ref="F84:F88" si="2">($F$78+$F$67+$F$35)*E84</f>
        <v>38.546933787377782</v>
      </c>
      <c r="H84" s="24" t="s">
        <v>39</v>
      </c>
      <c r="I84" s="25" t="s">
        <v>115</v>
      </c>
      <c r="J84" s="35">
        <f>((2/30)/12)</f>
        <v>5.5555555555555558E-3</v>
      </c>
      <c r="K84" s="20">
        <f t="shared" ref="K84:K88" si="3">($F$78+$F$67+$F$35)*J84</f>
        <v>38.546933787377782</v>
      </c>
    </row>
    <row r="85" spans="3:11" x14ac:dyDescent="0.25">
      <c r="C85" s="24" t="s">
        <v>42</v>
      </c>
      <c r="D85" s="25" t="s">
        <v>116</v>
      </c>
      <c r="E85" s="52">
        <f>((5/30)/12)*0.015</f>
        <v>2.0833333333333332E-4</v>
      </c>
      <c r="F85" s="20">
        <f t="shared" si="2"/>
        <v>1.4455100170266666</v>
      </c>
      <c r="H85" s="24" t="s">
        <v>42</v>
      </c>
      <c r="I85" s="25" t="s">
        <v>116</v>
      </c>
      <c r="J85" s="52">
        <f>((5/30)/12)*0.015</f>
        <v>2.0833333333333332E-4</v>
      </c>
      <c r="K85" s="20">
        <f t="shared" si="3"/>
        <v>1.4455100170266666</v>
      </c>
    </row>
    <row r="86" spans="3:11" x14ac:dyDescent="0.25">
      <c r="C86" s="24" t="s">
        <v>44</v>
      </c>
      <c r="D86" s="25" t="s">
        <v>117</v>
      </c>
      <c r="E86" s="35">
        <f>(((15/30)/12)*0.08)</f>
        <v>3.3333333333333331E-3</v>
      </c>
      <c r="F86" s="20">
        <f t="shared" si="2"/>
        <v>23.128160272426666</v>
      </c>
      <c r="H86" s="24" t="s">
        <v>44</v>
      </c>
      <c r="I86" s="25" t="s">
        <v>117</v>
      </c>
      <c r="J86" s="35">
        <f>(((15/30)/12)*0.08)</f>
        <v>3.3333333333333331E-3</v>
      </c>
      <c r="K86" s="20">
        <f t="shared" si="3"/>
        <v>23.128160272426666</v>
      </c>
    </row>
    <row r="87" spans="3:11" x14ac:dyDescent="0.25">
      <c r="C87" s="24" t="s">
        <v>47</v>
      </c>
      <c r="D87" s="25" t="s">
        <v>118</v>
      </c>
      <c r="E87" s="52">
        <f>0.0144*0.1*0.4509*6/12</f>
        <v>3.2464800000000003E-4</v>
      </c>
      <c r="F87" s="20">
        <f t="shared" si="2"/>
        <v>2.2525532928368319</v>
      </c>
      <c r="H87" s="24" t="s">
        <v>47</v>
      </c>
      <c r="I87" s="25" t="s">
        <v>118</v>
      </c>
      <c r="J87" s="52">
        <f>0.0144*0.1*0.4509*6/12</f>
        <v>3.2464800000000003E-4</v>
      </c>
      <c r="K87" s="20">
        <f t="shared" si="3"/>
        <v>2.2525532928368319</v>
      </c>
    </row>
    <row r="88" spans="3:11" x14ac:dyDescent="0.25">
      <c r="C88" s="24" t="s">
        <v>50</v>
      </c>
      <c r="D88" s="25" t="s">
        <v>119</v>
      </c>
      <c r="E88" s="35">
        <v>0</v>
      </c>
      <c r="F88" s="20">
        <f t="shared" si="2"/>
        <v>0</v>
      </c>
      <c r="H88" s="24" t="s">
        <v>50</v>
      </c>
      <c r="I88" s="25" t="s">
        <v>119</v>
      </c>
      <c r="J88" s="35">
        <v>0</v>
      </c>
      <c r="K88" s="20">
        <f t="shared" si="3"/>
        <v>0</v>
      </c>
    </row>
    <row r="89" spans="3:11" x14ac:dyDescent="0.25">
      <c r="C89" s="202" t="s">
        <v>80</v>
      </c>
      <c r="D89" s="203"/>
      <c r="E89" s="204"/>
      <c r="F89" s="22">
        <f>SUM(F83:F88)</f>
        <v>129.61804701529758</v>
      </c>
      <c r="H89" s="202" t="s">
        <v>80</v>
      </c>
      <c r="I89" s="203"/>
      <c r="J89" s="204"/>
      <c r="K89" s="22">
        <f>SUM(K83:K88)</f>
        <v>129.61804701529758</v>
      </c>
    </row>
    <row r="90" spans="3:11" x14ac:dyDescent="0.25">
      <c r="C90" s="193"/>
      <c r="D90" s="194"/>
      <c r="E90" s="194"/>
      <c r="F90" s="195"/>
      <c r="H90" s="193"/>
      <c r="I90" s="194"/>
      <c r="J90" s="194"/>
      <c r="K90" s="195"/>
    </row>
    <row r="91" spans="3:11" x14ac:dyDescent="0.25">
      <c r="C91" s="27" t="s">
        <v>120</v>
      </c>
      <c r="D91" s="27" t="s">
        <v>121</v>
      </c>
      <c r="E91" s="26" t="s">
        <v>77</v>
      </c>
      <c r="F91" s="22" t="s">
        <v>65</v>
      </c>
      <c r="H91" s="27" t="s">
        <v>120</v>
      </c>
      <c r="I91" s="27" t="s">
        <v>121</v>
      </c>
      <c r="J91" s="26" t="s">
        <v>77</v>
      </c>
      <c r="K91" s="22" t="s">
        <v>65</v>
      </c>
    </row>
    <row r="92" spans="3:11" x14ac:dyDescent="0.25">
      <c r="C92" s="20" t="s">
        <v>66</v>
      </c>
      <c r="D92" s="21" t="s">
        <v>122</v>
      </c>
      <c r="E92" s="28">
        <v>0</v>
      </c>
      <c r="F92" s="20">
        <v>0</v>
      </c>
      <c r="H92" s="20" t="s">
        <v>66</v>
      </c>
      <c r="I92" s="21" t="s">
        <v>122</v>
      </c>
      <c r="J92" s="28">
        <v>0</v>
      </c>
      <c r="K92" s="20">
        <v>0</v>
      </c>
    </row>
    <row r="93" spans="3:11" x14ac:dyDescent="0.25">
      <c r="C93" s="202" t="s">
        <v>80</v>
      </c>
      <c r="D93" s="204"/>
      <c r="E93" s="39">
        <v>0</v>
      </c>
      <c r="F93" s="22">
        <v>0</v>
      </c>
      <c r="H93" s="202" t="s">
        <v>80</v>
      </c>
      <c r="I93" s="204"/>
      <c r="J93" s="39">
        <v>0</v>
      </c>
      <c r="K93" s="22">
        <v>0</v>
      </c>
    </row>
    <row r="94" spans="3:11" x14ac:dyDescent="0.25">
      <c r="C94" s="193"/>
      <c r="D94" s="194"/>
      <c r="E94" s="194"/>
      <c r="F94" s="195"/>
      <c r="H94" s="193"/>
      <c r="I94" s="194"/>
      <c r="J94" s="194"/>
      <c r="K94" s="195"/>
    </row>
    <row r="95" spans="3:11" x14ac:dyDescent="0.25">
      <c r="C95" s="202" t="s">
        <v>123</v>
      </c>
      <c r="D95" s="203"/>
      <c r="E95" s="204"/>
      <c r="F95" s="22" t="s">
        <v>65</v>
      </c>
      <c r="H95" s="202" t="s">
        <v>123</v>
      </c>
      <c r="I95" s="203"/>
      <c r="J95" s="204"/>
      <c r="K95" s="22" t="s">
        <v>65</v>
      </c>
    </row>
    <row r="96" spans="3:11" x14ac:dyDescent="0.25">
      <c r="C96" s="20" t="s">
        <v>112</v>
      </c>
      <c r="D96" s="213" t="s">
        <v>113</v>
      </c>
      <c r="E96" s="214"/>
      <c r="F96" s="20">
        <f>F89</f>
        <v>129.61804701529758</v>
      </c>
      <c r="H96" s="20" t="s">
        <v>112</v>
      </c>
      <c r="I96" s="213" t="s">
        <v>113</v>
      </c>
      <c r="J96" s="214"/>
      <c r="K96" s="20">
        <f>K89</f>
        <v>129.61804701529758</v>
      </c>
    </row>
    <row r="97" spans="3:11" x14ac:dyDescent="0.25">
      <c r="C97" s="20" t="s">
        <v>120</v>
      </c>
      <c r="D97" s="213" t="s">
        <v>121</v>
      </c>
      <c r="E97" s="214"/>
      <c r="F97" s="20">
        <v>0</v>
      </c>
      <c r="H97" s="20" t="s">
        <v>120</v>
      </c>
      <c r="I97" s="213" t="s">
        <v>121</v>
      </c>
      <c r="J97" s="214"/>
      <c r="K97" s="20">
        <v>0</v>
      </c>
    </row>
    <row r="98" spans="3:11" x14ac:dyDescent="0.25">
      <c r="C98" s="202" t="s">
        <v>124</v>
      </c>
      <c r="D98" s="203"/>
      <c r="E98" s="204"/>
      <c r="F98" s="22">
        <f>SUM(F96:F97)</f>
        <v>129.61804701529758</v>
      </c>
      <c r="H98" s="202" t="s">
        <v>124</v>
      </c>
      <c r="I98" s="203"/>
      <c r="J98" s="204"/>
      <c r="K98" s="22">
        <f>SUM(K96:K97)</f>
        <v>129.61804701529758</v>
      </c>
    </row>
    <row r="99" spans="3:11" x14ac:dyDescent="0.25">
      <c r="C99" s="193"/>
      <c r="D99" s="194"/>
      <c r="E99" s="194"/>
      <c r="F99" s="195"/>
      <c r="H99" s="193"/>
      <c r="I99" s="194"/>
      <c r="J99" s="194"/>
      <c r="K99" s="195"/>
    </row>
    <row r="100" spans="3:11" x14ac:dyDescent="0.25">
      <c r="C100" s="190" t="s">
        <v>125</v>
      </c>
      <c r="D100" s="191"/>
      <c r="E100" s="191"/>
      <c r="F100" s="192"/>
      <c r="H100" s="190" t="s">
        <v>125</v>
      </c>
      <c r="I100" s="191"/>
      <c r="J100" s="191"/>
      <c r="K100" s="192"/>
    </row>
    <row r="101" spans="3:11" x14ac:dyDescent="0.25">
      <c r="C101" s="210"/>
      <c r="D101" s="211"/>
      <c r="E101" s="211"/>
      <c r="F101" s="212"/>
      <c r="H101" s="210"/>
      <c r="I101" s="211"/>
      <c r="J101" s="211"/>
      <c r="K101" s="212"/>
    </row>
    <row r="102" spans="3:11" x14ac:dyDescent="0.25">
      <c r="C102" s="12">
        <v>5</v>
      </c>
      <c r="D102" s="202" t="s">
        <v>126</v>
      </c>
      <c r="E102" s="204"/>
      <c r="F102" s="22" t="s">
        <v>65</v>
      </c>
      <c r="H102" s="12">
        <v>5</v>
      </c>
      <c r="I102" s="202" t="s">
        <v>126</v>
      </c>
      <c r="J102" s="204"/>
      <c r="K102" s="22" t="s">
        <v>65</v>
      </c>
    </row>
    <row r="103" spans="3:11" x14ac:dyDescent="0.25">
      <c r="C103" s="24" t="s">
        <v>66</v>
      </c>
      <c r="D103" s="216" t="s">
        <v>127</v>
      </c>
      <c r="E103" s="217"/>
      <c r="F103" s="20">
        <f>UNIFORMES!E9</f>
        <v>75.355555555555569</v>
      </c>
      <c r="H103" s="24" t="s">
        <v>66</v>
      </c>
      <c r="I103" s="216" t="s">
        <v>127</v>
      </c>
      <c r="J103" s="217"/>
      <c r="K103" s="118">
        <f>UNIFORMES!E9</f>
        <v>75.355555555555569</v>
      </c>
    </row>
    <row r="104" spans="3:11" x14ac:dyDescent="0.25">
      <c r="C104" s="24" t="s">
        <v>39</v>
      </c>
      <c r="D104" s="29" t="s">
        <v>128</v>
      </c>
      <c r="E104" s="30"/>
      <c r="F104" s="20">
        <v>0</v>
      </c>
      <c r="H104" s="24" t="s">
        <v>39</v>
      </c>
      <c r="I104" s="29" t="s">
        <v>128</v>
      </c>
      <c r="J104" s="30"/>
      <c r="K104" s="20">
        <v>0</v>
      </c>
    </row>
    <row r="105" spans="3:11" x14ac:dyDescent="0.25">
      <c r="C105" s="24" t="s">
        <v>42</v>
      </c>
      <c r="D105" s="216" t="s">
        <v>129</v>
      </c>
      <c r="E105" s="217"/>
      <c r="F105" s="118">
        <f>'Ferramentas de Uso Geral'!E60</f>
        <v>39.018233333333328</v>
      </c>
      <c r="H105" s="24" t="s">
        <v>42</v>
      </c>
      <c r="I105" s="216" t="s">
        <v>129</v>
      </c>
      <c r="J105" s="217"/>
      <c r="K105" s="118">
        <f>'Ferramentas de Uso Geral'!E60</f>
        <v>39.018233333333328</v>
      </c>
    </row>
    <row r="106" spans="3:11" x14ac:dyDescent="0.25">
      <c r="C106" s="24" t="s">
        <v>44</v>
      </c>
      <c r="D106" s="216" t="s">
        <v>130</v>
      </c>
      <c r="E106" s="217"/>
      <c r="F106" s="20">
        <v>0</v>
      </c>
      <c r="H106" s="24" t="s">
        <v>44</v>
      </c>
      <c r="I106" s="216" t="s">
        <v>130</v>
      </c>
      <c r="J106" s="217"/>
      <c r="K106" s="20">
        <v>0</v>
      </c>
    </row>
    <row r="107" spans="3:11" x14ac:dyDescent="0.25">
      <c r="C107" s="202" t="s">
        <v>131</v>
      </c>
      <c r="D107" s="203"/>
      <c r="E107" s="204"/>
      <c r="F107" s="22">
        <f>SUM(F103:F106)</f>
        <v>114.3737888888889</v>
      </c>
      <c r="H107" s="202" t="s">
        <v>131</v>
      </c>
      <c r="I107" s="203"/>
      <c r="J107" s="204"/>
      <c r="K107" s="22">
        <f>SUM(K103:K106)</f>
        <v>114.3737888888889</v>
      </c>
    </row>
    <row r="108" spans="3:11" x14ac:dyDescent="0.25">
      <c r="C108" s="193"/>
      <c r="D108" s="194"/>
      <c r="E108" s="194"/>
      <c r="F108" s="195"/>
      <c r="H108" s="193"/>
      <c r="I108" s="194"/>
      <c r="J108" s="194"/>
      <c r="K108" s="195"/>
    </row>
    <row r="109" spans="3:11" x14ac:dyDescent="0.25">
      <c r="C109" s="215" t="s">
        <v>132</v>
      </c>
      <c r="D109" s="215"/>
      <c r="E109" s="215"/>
      <c r="F109" s="41">
        <f>F107+F98+F78+F35+F67</f>
        <v>7182.4399176321858</v>
      </c>
      <c r="H109" s="215" t="s">
        <v>132</v>
      </c>
      <c r="I109" s="215"/>
      <c r="J109" s="215"/>
      <c r="K109" s="41">
        <f>K107+K98+K78+K35+K67</f>
        <v>6314.1390065210744</v>
      </c>
    </row>
    <row r="110" spans="3:11" x14ac:dyDescent="0.25">
      <c r="C110" s="189"/>
      <c r="D110" s="189"/>
      <c r="E110" s="189"/>
      <c r="F110" s="189"/>
      <c r="H110" s="189"/>
      <c r="I110" s="189"/>
      <c r="J110" s="189"/>
      <c r="K110" s="189"/>
    </row>
    <row r="111" spans="3:11" x14ac:dyDescent="0.25">
      <c r="C111" s="228" t="s">
        <v>133</v>
      </c>
      <c r="D111" s="228"/>
      <c r="E111" s="228"/>
      <c r="F111" s="228"/>
      <c r="H111" s="228" t="s">
        <v>133</v>
      </c>
      <c r="I111" s="228"/>
      <c r="J111" s="228"/>
      <c r="K111" s="228"/>
    </row>
    <row r="112" spans="3:11" x14ac:dyDescent="0.25">
      <c r="C112" s="193"/>
      <c r="D112" s="194"/>
      <c r="E112" s="194"/>
      <c r="F112" s="195"/>
      <c r="H112" s="193"/>
      <c r="I112" s="194"/>
      <c r="J112" s="194"/>
      <c r="K112" s="195"/>
    </row>
    <row r="113" spans="3:11" x14ac:dyDescent="0.25">
      <c r="C113" s="12">
        <v>6</v>
      </c>
      <c r="D113" s="40" t="s">
        <v>134</v>
      </c>
      <c r="E113" s="22" t="s">
        <v>77</v>
      </c>
      <c r="F113" s="22" t="s">
        <v>65</v>
      </c>
      <c r="H113" s="12">
        <v>6</v>
      </c>
      <c r="I113" s="40" t="s">
        <v>134</v>
      </c>
      <c r="J113" s="22" t="s">
        <v>77</v>
      </c>
      <c r="K113" s="22" t="s">
        <v>65</v>
      </c>
    </row>
    <row r="114" spans="3:11" x14ac:dyDescent="0.25">
      <c r="C114" s="24" t="s">
        <v>66</v>
      </c>
      <c r="D114" s="25" t="s">
        <v>135</v>
      </c>
      <c r="E114" s="35">
        <f>6.06/100</f>
        <v>6.0599999999999994E-2</v>
      </c>
      <c r="F114" s="20">
        <f>E114*F109</f>
        <v>435.25585900851041</v>
      </c>
      <c r="H114" s="24" t="s">
        <v>66</v>
      </c>
      <c r="I114" s="25" t="s">
        <v>135</v>
      </c>
      <c r="J114" s="35">
        <f>6.06/100</f>
        <v>6.0599999999999994E-2</v>
      </c>
      <c r="K114" s="20">
        <f>J114*K109</f>
        <v>382.63682379517707</v>
      </c>
    </row>
    <row r="115" spans="3:11" x14ac:dyDescent="0.25">
      <c r="C115" s="24" t="s">
        <v>39</v>
      </c>
      <c r="D115" s="25" t="s">
        <v>136</v>
      </c>
      <c r="E115" s="35">
        <f>7.4/100</f>
        <v>7.400000000000001E-2</v>
      </c>
      <c r="F115" s="20">
        <f>E115*(F109+F114)</f>
        <v>563.70948747141153</v>
      </c>
      <c r="H115" s="24" t="s">
        <v>39</v>
      </c>
      <c r="I115" s="25" t="s">
        <v>136</v>
      </c>
      <c r="J115" s="35">
        <f>7.4/100</f>
        <v>7.400000000000001E-2</v>
      </c>
      <c r="K115" s="20">
        <f>J115*(K109+K114)</f>
        <v>495.56141144340268</v>
      </c>
    </row>
    <row r="116" spans="3:11" x14ac:dyDescent="0.25">
      <c r="C116" s="24" t="s">
        <v>42</v>
      </c>
      <c r="D116" s="208" t="s">
        <v>137</v>
      </c>
      <c r="E116" s="218"/>
      <c r="F116" s="209"/>
      <c r="H116" s="24" t="s">
        <v>42</v>
      </c>
      <c r="I116" s="208" t="s">
        <v>137</v>
      </c>
      <c r="J116" s="218"/>
      <c r="K116" s="209"/>
    </row>
    <row r="117" spans="3:11" x14ac:dyDescent="0.25">
      <c r="C117" s="24" t="s">
        <v>138</v>
      </c>
      <c r="D117" s="7" t="s">
        <v>205</v>
      </c>
      <c r="E117" s="219">
        <v>8.6499999999999994E-2</v>
      </c>
      <c r="F117" s="222">
        <f>((F114+F109+F115)/(1-E117))-(F109+F115+F114)</f>
        <v>774.70339939321093</v>
      </c>
      <c r="H117" s="24" t="s">
        <v>138</v>
      </c>
      <c r="I117" s="7" t="s">
        <v>205</v>
      </c>
      <c r="J117" s="219">
        <v>8.6499999999999994E-2</v>
      </c>
      <c r="K117" s="222">
        <f>((K114+K109+K115)/(1-J117))-(K109+K115+K114)</f>
        <v>681.04780669098</v>
      </c>
    </row>
    <row r="118" spans="3:11" x14ac:dyDescent="0.25">
      <c r="C118" s="24" t="s">
        <v>139</v>
      </c>
      <c r="D118" s="7" t="s">
        <v>206</v>
      </c>
      <c r="E118" s="220"/>
      <c r="F118" s="223"/>
      <c r="H118" s="24" t="s">
        <v>139</v>
      </c>
      <c r="I118" s="7" t="s">
        <v>206</v>
      </c>
      <c r="J118" s="220"/>
      <c r="K118" s="223"/>
    </row>
    <row r="119" spans="3:11" x14ac:dyDescent="0.25">
      <c r="C119" s="24" t="s">
        <v>140</v>
      </c>
      <c r="D119" s="7" t="s">
        <v>207</v>
      </c>
      <c r="E119" s="221"/>
      <c r="F119" s="224"/>
      <c r="H119" s="24" t="s">
        <v>140</v>
      </c>
      <c r="I119" s="7" t="s">
        <v>207</v>
      </c>
      <c r="J119" s="221"/>
      <c r="K119" s="224"/>
    </row>
    <row r="120" spans="3:11" x14ac:dyDescent="0.25">
      <c r="C120" s="229" t="s">
        <v>141</v>
      </c>
      <c r="D120" s="230"/>
      <c r="E120" s="231"/>
      <c r="F120" s="22">
        <f>SUM(F114,F115,F117,F118,F119)</f>
        <v>1773.6687458731328</v>
      </c>
      <c r="H120" s="229" t="s">
        <v>141</v>
      </c>
      <c r="I120" s="230"/>
      <c r="J120" s="231"/>
      <c r="K120" s="22">
        <f>SUM(K114,K115,K117,K118,K119)</f>
        <v>1559.2460419295599</v>
      </c>
    </row>
    <row r="121" spans="3:11" x14ac:dyDescent="0.25">
      <c r="C121" s="193"/>
      <c r="D121" s="194"/>
      <c r="E121" s="194"/>
      <c r="F121" s="195"/>
      <c r="H121" s="193"/>
      <c r="I121" s="194"/>
      <c r="J121" s="194"/>
      <c r="K121" s="195"/>
    </row>
    <row r="122" spans="3:11" x14ac:dyDescent="0.25">
      <c r="C122" s="232" t="s">
        <v>142</v>
      </c>
      <c r="D122" s="233"/>
      <c r="E122" s="234"/>
      <c r="F122" s="43" t="s">
        <v>65</v>
      </c>
      <c r="H122" s="232" t="s">
        <v>142</v>
      </c>
      <c r="I122" s="233"/>
      <c r="J122" s="234"/>
      <c r="K122" s="43" t="s">
        <v>65</v>
      </c>
    </row>
    <row r="123" spans="3:11" x14ac:dyDescent="0.25">
      <c r="C123" s="180" t="s">
        <v>143</v>
      </c>
      <c r="D123" s="181"/>
      <c r="E123" s="181"/>
      <c r="F123" s="182"/>
      <c r="H123" s="180" t="s">
        <v>143</v>
      </c>
      <c r="I123" s="181"/>
      <c r="J123" s="181"/>
      <c r="K123" s="182"/>
    </row>
    <row r="124" spans="3:11" x14ac:dyDescent="0.25">
      <c r="C124" s="6" t="s">
        <v>66</v>
      </c>
      <c r="D124" s="183" t="s">
        <v>144</v>
      </c>
      <c r="E124" s="184"/>
      <c r="F124" s="20">
        <f>F35</f>
        <v>3634.748</v>
      </c>
      <c r="H124" s="6" t="s">
        <v>66</v>
      </c>
      <c r="I124" s="183" t="s">
        <v>144</v>
      </c>
      <c r="J124" s="184"/>
      <c r="K124" s="20">
        <f>K35</f>
        <v>3634.748</v>
      </c>
    </row>
    <row r="125" spans="3:11" x14ac:dyDescent="0.25">
      <c r="C125" s="6" t="s">
        <v>39</v>
      </c>
      <c r="D125" s="183" t="s">
        <v>145</v>
      </c>
      <c r="E125" s="184"/>
      <c r="F125" s="20">
        <f>F67</f>
        <v>3074.2166319999997</v>
      </c>
      <c r="H125" s="6" t="s">
        <v>39</v>
      </c>
      <c r="I125" s="183" t="s">
        <v>145</v>
      </c>
      <c r="J125" s="184"/>
      <c r="K125" s="20">
        <f>K67</f>
        <v>2205.9157208888887</v>
      </c>
    </row>
    <row r="126" spans="3:11" x14ac:dyDescent="0.25">
      <c r="C126" s="6" t="s">
        <v>42</v>
      </c>
      <c r="D126" s="183" t="s">
        <v>146</v>
      </c>
      <c r="E126" s="184"/>
      <c r="F126" s="20">
        <f>F78</f>
        <v>229.48344972799998</v>
      </c>
      <c r="H126" s="6" t="s">
        <v>42</v>
      </c>
      <c r="I126" s="183" t="s">
        <v>146</v>
      </c>
      <c r="J126" s="184"/>
      <c r="K126" s="20">
        <f>K78</f>
        <v>229.48344972799998</v>
      </c>
    </row>
    <row r="127" spans="3:11" x14ac:dyDescent="0.25">
      <c r="C127" s="6" t="s">
        <v>44</v>
      </c>
      <c r="D127" s="183" t="s">
        <v>147</v>
      </c>
      <c r="E127" s="184"/>
      <c r="F127" s="20">
        <f>F98</f>
        <v>129.61804701529758</v>
      </c>
      <c r="H127" s="6" t="s">
        <v>44</v>
      </c>
      <c r="I127" s="183" t="s">
        <v>147</v>
      </c>
      <c r="J127" s="184"/>
      <c r="K127" s="20">
        <f>K98</f>
        <v>129.61804701529758</v>
      </c>
    </row>
    <row r="128" spans="3:11" x14ac:dyDescent="0.25">
      <c r="C128" s="6" t="s">
        <v>47</v>
      </c>
      <c r="D128" s="183" t="s">
        <v>148</v>
      </c>
      <c r="E128" s="184"/>
      <c r="F128" s="20">
        <f>F107</f>
        <v>114.3737888888889</v>
      </c>
      <c r="H128" s="6" t="s">
        <v>47</v>
      </c>
      <c r="I128" s="183" t="s">
        <v>148</v>
      </c>
      <c r="J128" s="184"/>
      <c r="K128" s="20">
        <f>K107</f>
        <v>114.3737888888889</v>
      </c>
    </row>
    <row r="129" spans="3:11" x14ac:dyDescent="0.25">
      <c r="C129" s="235" t="s">
        <v>149</v>
      </c>
      <c r="D129" s="236"/>
      <c r="E129" s="237"/>
      <c r="F129" s="20">
        <f>SUM(F124:F128)</f>
        <v>7182.4399176321858</v>
      </c>
      <c r="H129" s="235" t="s">
        <v>149</v>
      </c>
      <c r="I129" s="236"/>
      <c r="J129" s="237"/>
      <c r="K129" s="20">
        <f>SUM(K124:K128)</f>
        <v>6314.1390065210753</v>
      </c>
    </row>
    <row r="130" spans="3:11" x14ac:dyDescent="0.25">
      <c r="C130" s="6" t="s">
        <v>150</v>
      </c>
      <c r="D130" s="183" t="s">
        <v>151</v>
      </c>
      <c r="E130" s="184"/>
      <c r="F130" s="20">
        <f>F120</f>
        <v>1773.6687458731328</v>
      </c>
      <c r="H130" s="6" t="s">
        <v>150</v>
      </c>
      <c r="I130" s="183" t="s">
        <v>151</v>
      </c>
      <c r="J130" s="184"/>
      <c r="K130" s="20">
        <f>K120</f>
        <v>1559.2460419295599</v>
      </c>
    </row>
    <row r="131" spans="3:11" x14ac:dyDescent="0.25">
      <c r="C131" s="199" t="s">
        <v>152</v>
      </c>
      <c r="D131" s="201"/>
      <c r="E131" s="200"/>
      <c r="F131" s="42">
        <f>F129+F130</f>
        <v>8956.108663505318</v>
      </c>
      <c r="H131" s="199" t="s">
        <v>152</v>
      </c>
      <c r="I131" s="201"/>
      <c r="J131" s="200"/>
      <c r="K131" s="42">
        <f>K129+K130</f>
        <v>7873.3850484506347</v>
      </c>
    </row>
    <row r="132" spans="3:11" x14ac:dyDescent="0.25">
      <c r="C132" s="199" t="s">
        <v>1084</v>
      </c>
      <c r="D132" s="201"/>
      <c r="E132" s="200"/>
      <c r="F132" s="42">
        <f>F131/220</f>
        <v>40.709584834115084</v>
      </c>
      <c r="H132" s="199" t="s">
        <v>1084</v>
      </c>
      <c r="I132" s="201"/>
      <c r="J132" s="200"/>
      <c r="K132" s="42">
        <f>K131/220</f>
        <v>35.788113856593796</v>
      </c>
    </row>
  </sheetData>
  <mergeCells count="164">
    <mergeCell ref="H131:J131"/>
    <mergeCell ref="C132:E132"/>
    <mergeCell ref="H132:J132"/>
    <mergeCell ref="I126:J126"/>
    <mergeCell ref="I127:J127"/>
    <mergeCell ref="I128:J128"/>
    <mergeCell ref="H129:J129"/>
    <mergeCell ref="I130:J130"/>
    <mergeCell ref="H121:K121"/>
    <mergeCell ref="H122:J122"/>
    <mergeCell ref="H123:K123"/>
    <mergeCell ref="I124:J124"/>
    <mergeCell ref="I125:J125"/>
    <mergeCell ref="C122:E122"/>
    <mergeCell ref="H112:K112"/>
    <mergeCell ref="I116:K116"/>
    <mergeCell ref="J117:J119"/>
    <mergeCell ref="K117:K119"/>
    <mergeCell ref="H120:J120"/>
    <mergeCell ref="H107:J107"/>
    <mergeCell ref="H108:K108"/>
    <mergeCell ref="H109:J109"/>
    <mergeCell ref="H110:K110"/>
    <mergeCell ref="H111:K111"/>
    <mergeCell ref="H101:K101"/>
    <mergeCell ref="I102:J102"/>
    <mergeCell ref="I103:J103"/>
    <mergeCell ref="I105:J105"/>
    <mergeCell ref="I106:J106"/>
    <mergeCell ref="I96:J96"/>
    <mergeCell ref="I97:J97"/>
    <mergeCell ref="H98:J98"/>
    <mergeCell ref="H99:K99"/>
    <mergeCell ref="H100:K100"/>
    <mergeCell ref="H89:J89"/>
    <mergeCell ref="H90:K90"/>
    <mergeCell ref="H93:I93"/>
    <mergeCell ref="H94:K94"/>
    <mergeCell ref="H95:J95"/>
    <mergeCell ref="H70:K70"/>
    <mergeCell ref="H78:J78"/>
    <mergeCell ref="H79:K79"/>
    <mergeCell ref="H80:K80"/>
    <mergeCell ref="H81:K81"/>
    <mergeCell ref="I65:J65"/>
    <mergeCell ref="I66:J66"/>
    <mergeCell ref="H67:J67"/>
    <mergeCell ref="H68:K68"/>
    <mergeCell ref="H69:K69"/>
    <mergeCell ref="H54:K54"/>
    <mergeCell ref="H61:J61"/>
    <mergeCell ref="H62:K62"/>
    <mergeCell ref="H63:J63"/>
    <mergeCell ref="I64:J64"/>
    <mergeCell ref="H37:K37"/>
    <mergeCell ref="H38:K38"/>
    <mergeCell ref="H42:J42"/>
    <mergeCell ref="H43:K43"/>
    <mergeCell ref="H53:I53"/>
    <mergeCell ref="H25:K25"/>
    <mergeCell ref="H26:K26"/>
    <mergeCell ref="I27:J27"/>
    <mergeCell ref="H35:J35"/>
    <mergeCell ref="H36:K36"/>
    <mergeCell ref="H20:K20"/>
    <mergeCell ref="I21:J21"/>
    <mergeCell ref="I22:J22"/>
    <mergeCell ref="I23:J23"/>
    <mergeCell ref="H24:K24"/>
    <mergeCell ref="H15:K15"/>
    <mergeCell ref="H16:K16"/>
    <mergeCell ref="J17:K17"/>
    <mergeCell ref="J18:K18"/>
    <mergeCell ref="J19:K19"/>
    <mergeCell ref="J10:K10"/>
    <mergeCell ref="J11:K11"/>
    <mergeCell ref="J12:K12"/>
    <mergeCell ref="J13:K13"/>
    <mergeCell ref="H14:K14"/>
    <mergeCell ref="H4:K4"/>
    <mergeCell ref="H5:K5"/>
    <mergeCell ref="H6:K6"/>
    <mergeCell ref="J7:K7"/>
    <mergeCell ref="J8:K8"/>
    <mergeCell ref="C16:F16"/>
    <mergeCell ref="C4:F4"/>
    <mergeCell ref="C5:F5"/>
    <mergeCell ref="C6:F6"/>
    <mergeCell ref="E7:F7"/>
    <mergeCell ref="E8:F8"/>
    <mergeCell ref="E10:F10"/>
    <mergeCell ref="E11:F11"/>
    <mergeCell ref="E12:F12"/>
    <mergeCell ref="E13:F13"/>
    <mergeCell ref="C14:F14"/>
    <mergeCell ref="C15:F15"/>
    <mergeCell ref="C35:E35"/>
    <mergeCell ref="E17:F17"/>
    <mergeCell ref="E18:F18"/>
    <mergeCell ref="E19:F19"/>
    <mergeCell ref="C20:F20"/>
    <mergeCell ref="D21:E21"/>
    <mergeCell ref="D22:E22"/>
    <mergeCell ref="D23:E23"/>
    <mergeCell ref="C24:F24"/>
    <mergeCell ref="C25:F25"/>
    <mergeCell ref="C26:F26"/>
    <mergeCell ref="D27:E27"/>
    <mergeCell ref="D65:E65"/>
    <mergeCell ref="C36:F36"/>
    <mergeCell ref="C37:F37"/>
    <mergeCell ref="C38:F38"/>
    <mergeCell ref="C42:E42"/>
    <mergeCell ref="C43:F43"/>
    <mergeCell ref="C53:D53"/>
    <mergeCell ref="C54:F54"/>
    <mergeCell ref="C61:E61"/>
    <mergeCell ref="C62:F62"/>
    <mergeCell ref="C63:E63"/>
    <mergeCell ref="D64:E64"/>
    <mergeCell ref="C93:D93"/>
    <mergeCell ref="D66:E66"/>
    <mergeCell ref="C67:E67"/>
    <mergeCell ref="C68:F68"/>
    <mergeCell ref="C69:F69"/>
    <mergeCell ref="C70:F70"/>
    <mergeCell ref="C78:E78"/>
    <mergeCell ref="C79:F79"/>
    <mergeCell ref="C80:F80"/>
    <mergeCell ref="C81:F81"/>
    <mergeCell ref="C89:E89"/>
    <mergeCell ref="C90:F90"/>
    <mergeCell ref="D106:E106"/>
    <mergeCell ref="C94:F94"/>
    <mergeCell ref="C95:E95"/>
    <mergeCell ref="D96:E96"/>
    <mergeCell ref="D97:E97"/>
    <mergeCell ref="C98:E98"/>
    <mergeCell ref="C99:F99"/>
    <mergeCell ref="C100:F100"/>
    <mergeCell ref="C101:F101"/>
    <mergeCell ref="D102:E102"/>
    <mergeCell ref="D103:E103"/>
    <mergeCell ref="D105:E105"/>
    <mergeCell ref="C107:E107"/>
    <mergeCell ref="C108:F108"/>
    <mergeCell ref="C109:E109"/>
    <mergeCell ref="C110:F110"/>
    <mergeCell ref="C111:F111"/>
    <mergeCell ref="C112:F112"/>
    <mergeCell ref="D116:F116"/>
    <mergeCell ref="E117:E119"/>
    <mergeCell ref="F117:F119"/>
    <mergeCell ref="C120:E120"/>
    <mergeCell ref="C121:F121"/>
    <mergeCell ref="C129:E129"/>
    <mergeCell ref="D130:E130"/>
    <mergeCell ref="C131:E131"/>
    <mergeCell ref="C123:F123"/>
    <mergeCell ref="D124:E124"/>
    <mergeCell ref="D125:E125"/>
    <mergeCell ref="D126:E126"/>
    <mergeCell ref="D127:E127"/>
    <mergeCell ref="D128:E128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A19FE-015B-45B3-87DD-FA08DBB7A91B}">
  <dimension ref="B4:K132"/>
  <sheetViews>
    <sheetView topLeftCell="A106" workbookViewId="0">
      <selection activeCell="I137" sqref="I137"/>
    </sheetView>
  </sheetViews>
  <sheetFormatPr defaultColWidth="9.140625" defaultRowHeight="15" x14ac:dyDescent="0.25"/>
  <cols>
    <col min="2" max="2" width="32.28515625" customWidth="1"/>
    <col min="4" max="4" width="57" bestFit="1" customWidth="1"/>
    <col min="5" max="5" width="15.85546875" customWidth="1"/>
    <col min="6" max="6" width="11.42578125" bestFit="1" customWidth="1"/>
    <col min="9" max="9" width="57" bestFit="1" customWidth="1"/>
    <col min="10" max="10" width="15.85546875" customWidth="1"/>
    <col min="11" max="11" width="11.42578125" bestFit="1" customWidth="1"/>
  </cols>
  <sheetData>
    <row r="4" spans="3:11" x14ac:dyDescent="0.25">
      <c r="C4" s="169" t="s">
        <v>228</v>
      </c>
      <c r="D4" s="169"/>
      <c r="E4" s="169"/>
      <c r="F4" s="169"/>
      <c r="H4" s="169" t="s">
        <v>228</v>
      </c>
      <c r="I4" s="169"/>
      <c r="J4" s="169"/>
      <c r="K4" s="169"/>
    </row>
    <row r="5" spans="3:11" x14ac:dyDescent="0.25">
      <c r="C5" s="170" t="s">
        <v>35</v>
      </c>
      <c r="D5" s="170"/>
      <c r="E5" s="170"/>
      <c r="F5" s="170"/>
      <c r="H5" s="170" t="s">
        <v>35</v>
      </c>
      <c r="I5" s="170"/>
      <c r="J5" s="170"/>
      <c r="K5" s="170"/>
    </row>
    <row r="6" spans="3:11" x14ac:dyDescent="0.25">
      <c r="C6" s="171" t="s">
        <v>36</v>
      </c>
      <c r="D6" s="171"/>
      <c r="E6" s="171"/>
      <c r="F6" s="171"/>
      <c r="H6" s="171" t="s">
        <v>36</v>
      </c>
      <c r="I6" s="171"/>
      <c r="J6" s="171"/>
      <c r="K6" s="171"/>
    </row>
    <row r="7" spans="3:11" x14ac:dyDescent="0.25">
      <c r="C7" s="6" t="s">
        <v>37</v>
      </c>
      <c r="D7" s="7" t="s">
        <v>38</v>
      </c>
      <c r="E7" s="172"/>
      <c r="F7" s="173"/>
      <c r="H7" s="6" t="s">
        <v>37</v>
      </c>
      <c r="I7" s="7" t="s">
        <v>38</v>
      </c>
      <c r="J7" s="172"/>
      <c r="K7" s="173"/>
    </row>
    <row r="8" spans="3:11" x14ac:dyDescent="0.25">
      <c r="C8" s="6" t="s">
        <v>39</v>
      </c>
      <c r="D8" s="7" t="s">
        <v>40</v>
      </c>
      <c r="E8" s="176" t="s">
        <v>41</v>
      </c>
      <c r="F8" s="176"/>
      <c r="H8" s="6" t="s">
        <v>39</v>
      </c>
      <c r="I8" s="7" t="s">
        <v>40</v>
      </c>
      <c r="J8" s="176" t="s">
        <v>41</v>
      </c>
      <c r="K8" s="176"/>
    </row>
    <row r="9" spans="3:11" x14ac:dyDescent="0.25">
      <c r="C9" s="8" t="s">
        <v>42</v>
      </c>
      <c r="D9" s="9" t="s">
        <v>43</v>
      </c>
      <c r="E9" s="45" t="s">
        <v>154</v>
      </c>
      <c r="F9" s="46">
        <v>2025</v>
      </c>
      <c r="H9" s="8" t="s">
        <v>42</v>
      </c>
      <c r="I9" s="9" t="s">
        <v>43</v>
      </c>
      <c r="J9" s="45" t="s">
        <v>154</v>
      </c>
      <c r="K9" s="46">
        <v>2025</v>
      </c>
    </row>
    <row r="10" spans="3:11" x14ac:dyDescent="0.25">
      <c r="C10" s="6" t="s">
        <v>44</v>
      </c>
      <c r="D10" s="7" t="s">
        <v>45</v>
      </c>
      <c r="E10" s="172" t="s">
        <v>46</v>
      </c>
      <c r="F10" s="173"/>
      <c r="H10" s="6" t="s">
        <v>44</v>
      </c>
      <c r="I10" s="7" t="s">
        <v>45</v>
      </c>
      <c r="J10" s="172" t="s">
        <v>46</v>
      </c>
      <c r="K10" s="173"/>
    </row>
    <row r="11" spans="3:11" x14ac:dyDescent="0.25">
      <c r="C11" s="6" t="s">
        <v>47</v>
      </c>
      <c r="D11" s="7" t="s">
        <v>48</v>
      </c>
      <c r="E11" s="172" t="s">
        <v>49</v>
      </c>
      <c r="F11" s="173"/>
      <c r="H11" s="6" t="s">
        <v>47</v>
      </c>
      <c r="I11" s="7" t="s">
        <v>48</v>
      </c>
      <c r="J11" s="172" t="s">
        <v>49</v>
      </c>
      <c r="K11" s="173"/>
    </row>
    <row r="12" spans="3:11" x14ac:dyDescent="0.25">
      <c r="C12" s="6" t="s">
        <v>50</v>
      </c>
      <c r="D12" s="7" t="s">
        <v>51</v>
      </c>
      <c r="E12" s="174" t="s">
        <v>218</v>
      </c>
      <c r="F12" s="175"/>
      <c r="H12" s="6" t="s">
        <v>50</v>
      </c>
      <c r="I12" s="7" t="s">
        <v>51</v>
      </c>
      <c r="J12" s="174" t="s">
        <v>218</v>
      </c>
      <c r="K12" s="175"/>
    </row>
    <row r="13" spans="3:11" x14ac:dyDescent="0.25">
      <c r="C13" s="6" t="s">
        <v>52</v>
      </c>
      <c r="D13" s="7" t="s">
        <v>53</v>
      </c>
      <c r="E13" s="172">
        <v>1</v>
      </c>
      <c r="F13" s="173"/>
      <c r="H13" s="6" t="s">
        <v>52</v>
      </c>
      <c r="I13" s="7" t="s">
        <v>53</v>
      </c>
      <c r="J13" s="172">
        <v>1</v>
      </c>
      <c r="K13" s="173"/>
    </row>
    <row r="14" spans="3:11" x14ac:dyDescent="0.25">
      <c r="C14" s="179" t="s">
        <v>228</v>
      </c>
      <c r="D14" s="179"/>
      <c r="E14" s="179"/>
      <c r="F14" s="179"/>
      <c r="H14" s="179" t="s">
        <v>228</v>
      </c>
      <c r="I14" s="179"/>
      <c r="J14" s="179"/>
      <c r="K14" s="179"/>
    </row>
    <row r="15" spans="3:11" x14ac:dyDescent="0.25">
      <c r="C15" s="180" t="s">
        <v>54</v>
      </c>
      <c r="D15" s="181"/>
      <c r="E15" s="181"/>
      <c r="F15" s="182"/>
      <c r="H15" s="180" t="s">
        <v>54</v>
      </c>
      <c r="I15" s="181"/>
      <c r="J15" s="181"/>
      <c r="K15" s="182"/>
    </row>
    <row r="16" spans="3:11" x14ac:dyDescent="0.25">
      <c r="C16" s="176" t="s">
        <v>55</v>
      </c>
      <c r="D16" s="176"/>
      <c r="E16" s="176"/>
      <c r="F16" s="176"/>
      <c r="H16" s="176" t="s">
        <v>55</v>
      </c>
      <c r="I16" s="176"/>
      <c r="J16" s="176"/>
      <c r="K16" s="176"/>
    </row>
    <row r="17" spans="3:11" x14ac:dyDescent="0.25">
      <c r="C17" s="6">
        <v>1</v>
      </c>
      <c r="D17" s="7" t="s">
        <v>56</v>
      </c>
      <c r="E17" s="172" t="s">
        <v>229</v>
      </c>
      <c r="F17" s="173" t="s">
        <v>57</v>
      </c>
      <c r="H17" s="6">
        <v>1</v>
      </c>
      <c r="I17" s="7" t="s">
        <v>56</v>
      </c>
      <c r="J17" s="172" t="s">
        <v>229</v>
      </c>
      <c r="K17" s="173" t="s">
        <v>57</v>
      </c>
    </row>
    <row r="18" spans="3:11" x14ac:dyDescent="0.25">
      <c r="C18" s="6"/>
      <c r="D18" s="10" t="s">
        <v>194</v>
      </c>
      <c r="E18" s="172">
        <v>1</v>
      </c>
      <c r="F18" s="173">
        <v>1</v>
      </c>
      <c r="H18" s="6"/>
      <c r="I18" s="10" t="s">
        <v>194</v>
      </c>
      <c r="J18" s="172">
        <v>1</v>
      </c>
      <c r="K18" s="173">
        <v>1</v>
      </c>
    </row>
    <row r="19" spans="3:11" ht="39" customHeight="1" x14ac:dyDescent="0.25">
      <c r="C19" s="6">
        <v>2</v>
      </c>
      <c r="D19" s="11" t="s">
        <v>58</v>
      </c>
      <c r="E19" s="177" t="s">
        <v>230</v>
      </c>
      <c r="F19" s="178"/>
      <c r="H19" s="6">
        <v>2</v>
      </c>
      <c r="I19" s="11" t="s">
        <v>58</v>
      </c>
      <c r="J19" s="177" t="s">
        <v>230</v>
      </c>
      <c r="K19" s="178"/>
    </row>
    <row r="20" spans="3:11" x14ac:dyDescent="0.25">
      <c r="C20" s="176" t="s">
        <v>59</v>
      </c>
      <c r="D20" s="176"/>
      <c r="E20" s="176"/>
      <c r="F20" s="176"/>
      <c r="H20" s="176" t="s">
        <v>59</v>
      </c>
      <c r="I20" s="176"/>
      <c r="J20" s="176"/>
      <c r="K20" s="176"/>
    </row>
    <row r="21" spans="3:11" x14ac:dyDescent="0.25">
      <c r="C21" s="6">
        <v>3</v>
      </c>
      <c r="D21" s="183" t="s">
        <v>1155</v>
      </c>
      <c r="E21" s="184"/>
      <c r="F21" s="31">
        <v>2671.35</v>
      </c>
      <c r="H21" s="6">
        <v>3</v>
      </c>
      <c r="I21" s="183" t="s">
        <v>1155</v>
      </c>
      <c r="J21" s="184"/>
      <c r="K21" s="31">
        <v>2671.35</v>
      </c>
    </row>
    <row r="22" spans="3:11" x14ac:dyDescent="0.25">
      <c r="C22" s="6">
        <v>4</v>
      </c>
      <c r="D22" s="183" t="s">
        <v>61</v>
      </c>
      <c r="E22" s="184"/>
      <c r="F22" s="32" t="s">
        <v>154</v>
      </c>
      <c r="H22" s="6">
        <v>4</v>
      </c>
      <c r="I22" s="183" t="s">
        <v>61</v>
      </c>
      <c r="J22" s="184"/>
      <c r="K22" s="32" t="s">
        <v>154</v>
      </c>
    </row>
    <row r="23" spans="3:11" x14ac:dyDescent="0.25">
      <c r="C23" s="6">
        <v>5</v>
      </c>
      <c r="D23" s="183" t="s">
        <v>62</v>
      </c>
      <c r="E23" s="184"/>
      <c r="F23" s="33">
        <v>45658</v>
      </c>
      <c r="H23" s="6">
        <v>5</v>
      </c>
      <c r="I23" s="183" t="s">
        <v>62</v>
      </c>
      <c r="J23" s="184"/>
      <c r="K23" s="33">
        <v>45658</v>
      </c>
    </row>
    <row r="24" spans="3:11" x14ac:dyDescent="0.25">
      <c r="C24" s="172"/>
      <c r="D24" s="185"/>
      <c r="E24" s="185"/>
      <c r="F24" s="173"/>
      <c r="H24" s="172"/>
      <c r="I24" s="185"/>
      <c r="J24" s="185"/>
      <c r="K24" s="173"/>
    </row>
    <row r="25" spans="3:11" x14ac:dyDescent="0.25">
      <c r="C25" s="186" t="s">
        <v>63</v>
      </c>
      <c r="D25" s="186"/>
      <c r="E25" s="186"/>
      <c r="F25" s="186"/>
      <c r="H25" s="186" t="s">
        <v>63</v>
      </c>
      <c r="I25" s="186"/>
      <c r="J25" s="186"/>
      <c r="K25" s="186"/>
    </row>
    <row r="26" spans="3:11" x14ac:dyDescent="0.25">
      <c r="C26" s="196"/>
      <c r="D26" s="197"/>
      <c r="E26" s="197"/>
      <c r="F26" s="198"/>
      <c r="H26" s="196"/>
      <c r="I26" s="197"/>
      <c r="J26" s="197"/>
      <c r="K26" s="198"/>
    </row>
    <row r="27" spans="3:11" x14ac:dyDescent="0.25">
      <c r="C27" s="12">
        <v>1</v>
      </c>
      <c r="D27" s="199" t="s">
        <v>64</v>
      </c>
      <c r="E27" s="200"/>
      <c r="F27" s="12" t="s">
        <v>65</v>
      </c>
      <c r="H27" s="12">
        <v>1</v>
      </c>
      <c r="I27" s="199" t="s">
        <v>64</v>
      </c>
      <c r="J27" s="200"/>
      <c r="K27" s="12" t="s">
        <v>65</v>
      </c>
    </row>
    <row r="28" spans="3:11" x14ac:dyDescent="0.25">
      <c r="C28" s="6" t="s">
        <v>66</v>
      </c>
      <c r="D28" s="7" t="s">
        <v>67</v>
      </c>
      <c r="E28" s="34">
        <v>1</v>
      </c>
      <c r="F28" s="47">
        <f>F21</f>
        <v>2671.35</v>
      </c>
      <c r="H28" s="6" t="s">
        <v>66</v>
      </c>
      <c r="I28" s="7" t="s">
        <v>67</v>
      </c>
      <c r="J28" s="34">
        <v>1</v>
      </c>
      <c r="K28" s="47">
        <f>K21</f>
        <v>2671.35</v>
      </c>
    </row>
    <row r="29" spans="3:11" x14ac:dyDescent="0.25">
      <c r="C29" s="6" t="s">
        <v>39</v>
      </c>
      <c r="D29" s="7" t="s">
        <v>226</v>
      </c>
      <c r="E29" s="14">
        <v>0.3</v>
      </c>
      <c r="F29" s="15">
        <f>F28*E29</f>
        <v>801.40499999999997</v>
      </c>
      <c r="H29" s="6" t="s">
        <v>39</v>
      </c>
      <c r="I29" s="7" t="s">
        <v>226</v>
      </c>
      <c r="J29" s="14">
        <v>0.3</v>
      </c>
      <c r="K29" s="15">
        <f>K28*J29</f>
        <v>801.40499999999997</v>
      </c>
    </row>
    <row r="30" spans="3:11" x14ac:dyDescent="0.25">
      <c r="C30" s="6" t="s">
        <v>42</v>
      </c>
      <c r="D30" s="7" t="s">
        <v>69</v>
      </c>
      <c r="E30" s="14">
        <v>0</v>
      </c>
      <c r="F30" s="16">
        <v>0</v>
      </c>
      <c r="H30" s="6" t="s">
        <v>42</v>
      </c>
      <c r="I30" s="7" t="s">
        <v>69</v>
      </c>
      <c r="J30" s="14">
        <v>0</v>
      </c>
      <c r="K30" s="16">
        <v>0</v>
      </c>
    </row>
    <row r="31" spans="3:11" x14ac:dyDescent="0.25">
      <c r="C31" s="6" t="s">
        <v>44</v>
      </c>
      <c r="D31" s="7" t="s">
        <v>70</v>
      </c>
      <c r="E31" s="14">
        <v>0</v>
      </c>
      <c r="F31" s="16">
        <v>0</v>
      </c>
      <c r="H31" s="6" t="s">
        <v>44</v>
      </c>
      <c r="I31" s="7" t="s">
        <v>70</v>
      </c>
      <c r="J31" s="14">
        <v>0</v>
      </c>
      <c r="K31" s="16">
        <v>0</v>
      </c>
    </row>
    <row r="32" spans="3:11" x14ac:dyDescent="0.25">
      <c r="C32" s="6" t="s">
        <v>47</v>
      </c>
      <c r="D32" s="7" t="s">
        <v>71</v>
      </c>
      <c r="E32" s="14">
        <v>0</v>
      </c>
      <c r="F32" s="16">
        <v>0</v>
      </c>
      <c r="H32" s="6" t="s">
        <v>47</v>
      </c>
      <c r="I32" s="7" t="s">
        <v>71</v>
      </c>
      <c r="J32" s="14">
        <v>0</v>
      </c>
      <c r="K32" s="16">
        <v>0</v>
      </c>
    </row>
    <row r="33" spans="3:11" x14ac:dyDescent="0.25">
      <c r="C33" s="6" t="s">
        <v>50</v>
      </c>
      <c r="D33" s="7" t="s">
        <v>1068</v>
      </c>
      <c r="E33" s="14">
        <v>0</v>
      </c>
      <c r="F33" s="53">
        <v>0</v>
      </c>
      <c r="H33" s="6" t="s">
        <v>50</v>
      </c>
      <c r="I33" s="7" t="s">
        <v>1068</v>
      </c>
      <c r="J33" s="14">
        <v>0</v>
      </c>
      <c r="K33" s="53">
        <v>0</v>
      </c>
    </row>
    <row r="34" spans="3:11" x14ac:dyDescent="0.25">
      <c r="C34" s="6" t="s">
        <v>52</v>
      </c>
      <c r="D34" s="7" t="s">
        <v>72</v>
      </c>
      <c r="E34" s="14">
        <v>0</v>
      </c>
      <c r="F34" s="16">
        <v>0</v>
      </c>
      <c r="H34" s="6" t="s">
        <v>52</v>
      </c>
      <c r="I34" s="7" t="s">
        <v>72</v>
      </c>
      <c r="J34" s="14">
        <v>0</v>
      </c>
      <c r="K34" s="16">
        <v>0</v>
      </c>
    </row>
    <row r="35" spans="3:11" x14ac:dyDescent="0.25">
      <c r="C35" s="199" t="s">
        <v>73</v>
      </c>
      <c r="D35" s="201"/>
      <c r="E35" s="200"/>
      <c r="F35" s="17">
        <f>SUM(F28:F34)</f>
        <v>3472.7550000000001</v>
      </c>
      <c r="H35" s="199" t="s">
        <v>73</v>
      </c>
      <c r="I35" s="201"/>
      <c r="J35" s="200"/>
      <c r="K35" s="17">
        <f>SUM(K28:K34)</f>
        <v>3472.7550000000001</v>
      </c>
    </row>
    <row r="36" spans="3:11" x14ac:dyDescent="0.25">
      <c r="C36" s="189"/>
      <c r="D36" s="189"/>
      <c r="E36" s="189"/>
      <c r="F36" s="189"/>
      <c r="H36" s="189"/>
      <c r="I36" s="189"/>
      <c r="J36" s="189"/>
      <c r="K36" s="189"/>
    </row>
    <row r="37" spans="3:11" x14ac:dyDescent="0.25">
      <c r="C37" s="190" t="s">
        <v>74</v>
      </c>
      <c r="D37" s="191"/>
      <c r="E37" s="191"/>
      <c r="F37" s="192"/>
      <c r="H37" s="190" t="s">
        <v>74</v>
      </c>
      <c r="I37" s="191"/>
      <c r="J37" s="191"/>
      <c r="K37" s="192"/>
    </row>
    <row r="38" spans="3:11" x14ac:dyDescent="0.25">
      <c r="C38" s="193"/>
      <c r="D38" s="194"/>
      <c r="E38" s="194"/>
      <c r="F38" s="195"/>
      <c r="H38" s="193"/>
      <c r="I38" s="194"/>
      <c r="J38" s="194"/>
      <c r="K38" s="195"/>
    </row>
    <row r="39" spans="3:11" x14ac:dyDescent="0.25">
      <c r="C39" s="18" t="s">
        <v>75</v>
      </c>
      <c r="D39" s="19" t="s">
        <v>76</v>
      </c>
      <c r="E39" s="18" t="s">
        <v>77</v>
      </c>
      <c r="F39" s="18" t="s">
        <v>65</v>
      </c>
      <c r="H39" s="18" t="s">
        <v>75</v>
      </c>
      <c r="I39" s="19" t="s">
        <v>76</v>
      </c>
      <c r="J39" s="18" t="s">
        <v>77</v>
      </c>
      <c r="K39" s="18" t="s">
        <v>65</v>
      </c>
    </row>
    <row r="40" spans="3:11" x14ac:dyDescent="0.25">
      <c r="C40" s="20" t="s">
        <v>66</v>
      </c>
      <c r="D40" s="21" t="s">
        <v>78</v>
      </c>
      <c r="E40" s="44">
        <f>1/12</f>
        <v>8.3333333333333329E-2</v>
      </c>
      <c r="F40" s="20">
        <f>F35*E40</f>
        <v>289.39625000000001</v>
      </c>
      <c r="H40" s="20" t="s">
        <v>66</v>
      </c>
      <c r="I40" s="21" t="s">
        <v>78</v>
      </c>
      <c r="J40" s="44">
        <f>1/12</f>
        <v>8.3333333333333329E-2</v>
      </c>
      <c r="K40" s="20">
        <f>K35*J40</f>
        <v>289.39625000000001</v>
      </c>
    </row>
    <row r="41" spans="3:11" x14ac:dyDescent="0.25">
      <c r="C41" s="20" t="s">
        <v>39</v>
      </c>
      <c r="D41" s="21" t="s">
        <v>79</v>
      </c>
      <c r="E41" s="28">
        <f>(1/12)+(1/(12*3))</f>
        <v>0.1111111111111111</v>
      </c>
      <c r="F41" s="20">
        <f>E41*F35</f>
        <v>385.86166666666668</v>
      </c>
      <c r="H41" s="20" t="s">
        <v>39</v>
      </c>
      <c r="I41" s="21" t="s">
        <v>79</v>
      </c>
      <c r="J41" s="28">
        <f>(1/12)+(1/(12*3))</f>
        <v>0.1111111111111111</v>
      </c>
      <c r="K41" s="20">
        <f>J41*K35</f>
        <v>385.86166666666668</v>
      </c>
    </row>
    <row r="42" spans="3:11" x14ac:dyDescent="0.25">
      <c r="C42" s="205" t="s">
        <v>80</v>
      </c>
      <c r="D42" s="206"/>
      <c r="E42" s="207"/>
      <c r="F42" s="22">
        <f>SUM(F40:F41)</f>
        <v>675.25791666666669</v>
      </c>
      <c r="H42" s="205" t="s">
        <v>80</v>
      </c>
      <c r="I42" s="206"/>
      <c r="J42" s="207"/>
      <c r="K42" s="22">
        <f>SUM(K40:K41)</f>
        <v>675.25791666666669</v>
      </c>
    </row>
    <row r="43" spans="3:11" x14ac:dyDescent="0.25">
      <c r="C43" s="193"/>
      <c r="D43" s="194"/>
      <c r="E43" s="194"/>
      <c r="F43" s="195"/>
      <c r="H43" s="193"/>
      <c r="I43" s="194"/>
      <c r="J43" s="194"/>
      <c r="K43" s="195"/>
    </row>
    <row r="44" spans="3:11" x14ac:dyDescent="0.25">
      <c r="C44" s="22" t="s">
        <v>81</v>
      </c>
      <c r="D44" s="23" t="s">
        <v>82</v>
      </c>
      <c r="E44" s="22" t="s">
        <v>77</v>
      </c>
      <c r="F44" s="22" t="s">
        <v>65</v>
      </c>
      <c r="H44" s="22" t="s">
        <v>81</v>
      </c>
      <c r="I44" s="23" t="s">
        <v>82</v>
      </c>
      <c r="J44" s="22" t="s">
        <v>77</v>
      </c>
      <c r="K44" s="22" t="s">
        <v>65</v>
      </c>
    </row>
    <row r="45" spans="3:11" x14ac:dyDescent="0.25">
      <c r="C45" s="24" t="s">
        <v>66</v>
      </c>
      <c r="D45" s="25" t="s">
        <v>83</v>
      </c>
      <c r="E45" s="35">
        <f>2/10</f>
        <v>0.2</v>
      </c>
      <c r="F45" s="20">
        <f>E45*($F$35+$F$42)</f>
        <v>829.60258333333331</v>
      </c>
      <c r="H45" s="24" t="s">
        <v>66</v>
      </c>
      <c r="I45" s="25" t="s">
        <v>83</v>
      </c>
      <c r="J45" s="35">
        <v>0</v>
      </c>
      <c r="K45" s="20">
        <f>J45*($F$35+$F$42)</f>
        <v>0</v>
      </c>
    </row>
    <row r="46" spans="3:11" x14ac:dyDescent="0.25">
      <c r="C46" s="24" t="s">
        <v>39</v>
      </c>
      <c r="D46" s="25" t="s">
        <v>84</v>
      </c>
      <c r="E46" s="35">
        <f>2.5/100</f>
        <v>2.5000000000000001E-2</v>
      </c>
      <c r="F46" s="20">
        <f t="shared" ref="F46:F52" si="0">E46*($F$35+$F$42)</f>
        <v>103.70032291666666</v>
      </c>
      <c r="H46" s="24" t="s">
        <v>39</v>
      </c>
      <c r="I46" s="25" t="s">
        <v>84</v>
      </c>
      <c r="J46" s="35">
        <f>2.5/100</f>
        <v>2.5000000000000001E-2</v>
      </c>
      <c r="K46" s="20">
        <f t="shared" ref="K46:K52" si="1">J46*($F$35+$F$42)</f>
        <v>103.70032291666666</v>
      </c>
    </row>
    <row r="47" spans="3:11" x14ac:dyDescent="0.25">
      <c r="C47" s="24" t="s">
        <v>42</v>
      </c>
      <c r="D47" s="25" t="s">
        <v>85</v>
      </c>
      <c r="E47" s="35">
        <f>3/100</f>
        <v>0.03</v>
      </c>
      <c r="F47" s="20">
        <f t="shared" si="0"/>
        <v>124.44038749999999</v>
      </c>
      <c r="H47" s="24" t="s">
        <v>42</v>
      </c>
      <c r="I47" s="25" t="s">
        <v>85</v>
      </c>
      <c r="J47" s="35">
        <f>3/100</f>
        <v>0.03</v>
      </c>
      <c r="K47" s="20">
        <f t="shared" si="1"/>
        <v>124.44038749999999</v>
      </c>
    </row>
    <row r="48" spans="3:11" x14ac:dyDescent="0.25">
      <c r="C48" s="24" t="s">
        <v>44</v>
      </c>
      <c r="D48" s="25" t="s">
        <v>86</v>
      </c>
      <c r="E48" s="35">
        <f>1.5/100</f>
        <v>1.4999999999999999E-2</v>
      </c>
      <c r="F48" s="20">
        <f t="shared" si="0"/>
        <v>62.220193749999993</v>
      </c>
      <c r="H48" s="24" t="s">
        <v>44</v>
      </c>
      <c r="I48" s="25" t="s">
        <v>86</v>
      </c>
      <c r="J48" s="35">
        <f>1.5/100</f>
        <v>1.4999999999999999E-2</v>
      </c>
      <c r="K48" s="20">
        <f t="shared" si="1"/>
        <v>62.220193749999993</v>
      </c>
    </row>
    <row r="49" spans="3:11" x14ac:dyDescent="0.25">
      <c r="C49" s="24" t="s">
        <v>47</v>
      </c>
      <c r="D49" s="25" t="s">
        <v>87</v>
      </c>
      <c r="E49" s="35">
        <f>1/100</f>
        <v>0.01</v>
      </c>
      <c r="F49" s="20">
        <f t="shared" si="0"/>
        <v>41.480129166666664</v>
      </c>
      <c r="H49" s="24" t="s">
        <v>47</v>
      </c>
      <c r="I49" s="25" t="s">
        <v>87</v>
      </c>
      <c r="J49" s="35">
        <f>1/100</f>
        <v>0.01</v>
      </c>
      <c r="K49" s="20">
        <f t="shared" si="1"/>
        <v>41.480129166666664</v>
      </c>
    </row>
    <row r="50" spans="3:11" x14ac:dyDescent="0.25">
      <c r="C50" s="24" t="s">
        <v>50</v>
      </c>
      <c r="D50" s="25" t="s">
        <v>88</v>
      </c>
      <c r="E50" s="35">
        <f>0.6/100</f>
        <v>6.0000000000000001E-3</v>
      </c>
      <c r="F50" s="20">
        <f t="shared" si="0"/>
        <v>24.888077500000001</v>
      </c>
      <c r="H50" s="24" t="s">
        <v>50</v>
      </c>
      <c r="I50" s="25" t="s">
        <v>88</v>
      </c>
      <c r="J50" s="35">
        <f>0.6/100</f>
        <v>6.0000000000000001E-3</v>
      </c>
      <c r="K50" s="20">
        <f t="shared" si="1"/>
        <v>24.888077500000001</v>
      </c>
    </row>
    <row r="51" spans="3:11" x14ac:dyDescent="0.25">
      <c r="C51" s="24" t="s">
        <v>52</v>
      </c>
      <c r="D51" s="25" t="s">
        <v>89</v>
      </c>
      <c r="E51" s="35">
        <f>0.2/100</f>
        <v>2E-3</v>
      </c>
      <c r="F51" s="20">
        <f t="shared" si="0"/>
        <v>8.2960258333333332</v>
      </c>
      <c r="H51" s="24" t="s">
        <v>52</v>
      </c>
      <c r="I51" s="25" t="s">
        <v>89</v>
      </c>
      <c r="J51" s="35">
        <f>0.2/100</f>
        <v>2E-3</v>
      </c>
      <c r="K51" s="20">
        <f t="shared" si="1"/>
        <v>8.2960258333333332</v>
      </c>
    </row>
    <row r="52" spans="3:11" x14ac:dyDescent="0.25">
      <c r="C52" s="24" t="s">
        <v>90</v>
      </c>
      <c r="D52" s="25" t="s">
        <v>91</v>
      </c>
      <c r="E52" s="35">
        <f>8/100</f>
        <v>0.08</v>
      </c>
      <c r="F52" s="20">
        <f t="shared" si="0"/>
        <v>331.84103333333331</v>
      </c>
      <c r="H52" s="24" t="s">
        <v>90</v>
      </c>
      <c r="I52" s="25" t="s">
        <v>91</v>
      </c>
      <c r="J52" s="35">
        <f>8/100</f>
        <v>0.08</v>
      </c>
      <c r="K52" s="20">
        <f t="shared" si="1"/>
        <v>331.84103333333331</v>
      </c>
    </row>
    <row r="53" spans="3:11" x14ac:dyDescent="0.25">
      <c r="C53" s="202" t="s">
        <v>80</v>
      </c>
      <c r="D53" s="204"/>
      <c r="E53" s="36">
        <v>0.36800000000000005</v>
      </c>
      <c r="F53" s="22">
        <f>SUM(F45:F52)</f>
        <v>1526.4687533333333</v>
      </c>
      <c r="H53" s="202" t="s">
        <v>80</v>
      </c>
      <c r="I53" s="204"/>
      <c r="J53" s="36">
        <v>0.16800000000000001</v>
      </c>
      <c r="K53" s="22">
        <f>SUM(K45:K52)</f>
        <v>696.8661699999999</v>
      </c>
    </row>
    <row r="54" spans="3:11" x14ac:dyDescent="0.25">
      <c r="C54" s="193"/>
      <c r="D54" s="194"/>
      <c r="E54" s="194"/>
      <c r="F54" s="195"/>
      <c r="H54" s="193"/>
      <c r="I54" s="194"/>
      <c r="J54" s="194"/>
      <c r="K54" s="195"/>
    </row>
    <row r="55" spans="3:11" x14ac:dyDescent="0.25">
      <c r="C55" s="22" t="s">
        <v>92</v>
      </c>
      <c r="D55" s="23" t="s">
        <v>93</v>
      </c>
      <c r="E55" s="22" t="s">
        <v>94</v>
      </c>
      <c r="F55" s="22" t="s">
        <v>65</v>
      </c>
      <c r="H55" s="22" t="s">
        <v>92</v>
      </c>
      <c r="I55" s="23" t="s">
        <v>93</v>
      </c>
      <c r="J55" s="22" t="s">
        <v>94</v>
      </c>
      <c r="K55" s="22" t="s">
        <v>65</v>
      </c>
    </row>
    <row r="56" spans="3:11" x14ac:dyDescent="0.25">
      <c r="C56" s="24" t="s">
        <v>66</v>
      </c>
      <c r="D56" s="25" t="s">
        <v>197</v>
      </c>
      <c r="E56" s="37">
        <v>4.95</v>
      </c>
      <c r="F56" s="38">
        <f>(22*4.95*2)-(F28*0.06)</f>
        <v>57.519000000000034</v>
      </c>
      <c r="H56" s="24" t="s">
        <v>66</v>
      </c>
      <c r="I56" s="25" t="s">
        <v>197</v>
      </c>
      <c r="J56" s="37">
        <v>4.95</v>
      </c>
      <c r="K56" s="38">
        <f>(22*4.95*2)-(K28*0.06)</f>
        <v>57.519000000000034</v>
      </c>
    </row>
    <row r="57" spans="3:11" x14ac:dyDescent="0.25">
      <c r="C57" s="24" t="s">
        <v>39</v>
      </c>
      <c r="D57" s="154" t="s">
        <v>1146</v>
      </c>
      <c r="E57" s="37">
        <v>23.76</v>
      </c>
      <c r="F57" s="38">
        <f>23.76*22*0.95</f>
        <v>496.584</v>
      </c>
      <c r="H57" s="24" t="s">
        <v>39</v>
      </c>
      <c r="I57" s="154" t="s">
        <v>1146</v>
      </c>
      <c r="J57" s="37">
        <v>23.76</v>
      </c>
      <c r="K57" s="38">
        <f>23.76*22*0.95</f>
        <v>496.584</v>
      </c>
    </row>
    <row r="58" spans="3:11" x14ac:dyDescent="0.25">
      <c r="C58" s="24" t="s">
        <v>42</v>
      </c>
      <c r="D58" s="154" t="s">
        <v>1147</v>
      </c>
      <c r="E58" s="37">
        <v>164.16</v>
      </c>
      <c r="F58" s="20">
        <f>E58*1</f>
        <v>164.16</v>
      </c>
      <c r="H58" s="24" t="s">
        <v>42</v>
      </c>
      <c r="I58" s="154" t="s">
        <v>1147</v>
      </c>
      <c r="J58" s="37">
        <v>164.16</v>
      </c>
      <c r="K58" s="20">
        <f>J58*1</f>
        <v>164.16</v>
      </c>
    </row>
    <row r="59" spans="3:11" x14ac:dyDescent="0.25">
      <c r="C59" s="24" t="s">
        <v>44</v>
      </c>
      <c r="D59" s="155" t="s">
        <v>1148</v>
      </c>
      <c r="E59" s="37">
        <v>59</v>
      </c>
      <c r="F59" s="20">
        <f>E59</f>
        <v>59</v>
      </c>
      <c r="H59" s="24" t="s">
        <v>44</v>
      </c>
      <c r="I59" s="155" t="s">
        <v>1148</v>
      </c>
      <c r="J59" s="37">
        <v>59</v>
      </c>
      <c r="K59" s="20">
        <f>J59</f>
        <v>59</v>
      </c>
    </row>
    <row r="60" spans="3:11" x14ac:dyDescent="0.25">
      <c r="C60" s="24" t="s">
        <v>47</v>
      </c>
      <c r="D60" s="25" t="s">
        <v>97</v>
      </c>
      <c r="E60" s="37"/>
      <c r="F60" s="20">
        <v>0</v>
      </c>
      <c r="H60" s="24" t="s">
        <v>47</v>
      </c>
      <c r="I60" s="25" t="s">
        <v>97</v>
      </c>
      <c r="J60" s="37"/>
      <c r="K60" s="20">
        <v>0</v>
      </c>
    </row>
    <row r="61" spans="3:11" x14ac:dyDescent="0.25">
      <c r="C61" s="202" t="s">
        <v>98</v>
      </c>
      <c r="D61" s="203"/>
      <c r="E61" s="204"/>
      <c r="F61" s="22">
        <f>SUM(F56:F60)</f>
        <v>777.26300000000003</v>
      </c>
      <c r="H61" s="202" t="s">
        <v>98</v>
      </c>
      <c r="I61" s="203"/>
      <c r="J61" s="204"/>
      <c r="K61" s="22">
        <f>SUM(K56:K60)</f>
        <v>777.26300000000003</v>
      </c>
    </row>
    <row r="62" spans="3:11" x14ac:dyDescent="0.25">
      <c r="C62" s="193"/>
      <c r="D62" s="194"/>
      <c r="E62" s="194"/>
      <c r="F62" s="195"/>
      <c r="H62" s="193"/>
      <c r="I62" s="194"/>
      <c r="J62" s="194"/>
      <c r="K62" s="195"/>
    </row>
    <row r="63" spans="3:11" x14ac:dyDescent="0.25">
      <c r="C63" s="202" t="s">
        <v>99</v>
      </c>
      <c r="D63" s="203"/>
      <c r="E63" s="204"/>
      <c r="F63" s="22" t="s">
        <v>65</v>
      </c>
      <c r="H63" s="202" t="s">
        <v>99</v>
      </c>
      <c r="I63" s="203"/>
      <c r="J63" s="204"/>
      <c r="K63" s="22" t="s">
        <v>65</v>
      </c>
    </row>
    <row r="64" spans="3:11" x14ac:dyDescent="0.25">
      <c r="C64" s="24" t="s">
        <v>100</v>
      </c>
      <c r="D64" s="208" t="s">
        <v>76</v>
      </c>
      <c r="E64" s="209"/>
      <c r="F64" s="20">
        <f>F42</f>
        <v>675.25791666666669</v>
      </c>
      <c r="H64" s="24" t="s">
        <v>100</v>
      </c>
      <c r="I64" s="208" t="s">
        <v>76</v>
      </c>
      <c r="J64" s="209"/>
      <c r="K64" s="20">
        <f>K42</f>
        <v>675.25791666666669</v>
      </c>
    </row>
    <row r="65" spans="2:11" x14ac:dyDescent="0.25">
      <c r="C65" s="24" t="s">
        <v>81</v>
      </c>
      <c r="D65" s="208" t="s">
        <v>82</v>
      </c>
      <c r="E65" s="209"/>
      <c r="F65" s="20">
        <f>F53</f>
        <v>1526.4687533333333</v>
      </c>
      <c r="H65" s="24" t="s">
        <v>81</v>
      </c>
      <c r="I65" s="208" t="s">
        <v>82</v>
      </c>
      <c r="J65" s="209"/>
      <c r="K65" s="20">
        <f>K53</f>
        <v>696.8661699999999</v>
      </c>
    </row>
    <row r="66" spans="2:11" x14ac:dyDescent="0.25">
      <c r="C66" s="24" t="s">
        <v>101</v>
      </c>
      <c r="D66" s="208" t="s">
        <v>93</v>
      </c>
      <c r="E66" s="209"/>
      <c r="F66" s="20">
        <f>F61</f>
        <v>777.26300000000003</v>
      </c>
      <c r="H66" s="24" t="s">
        <v>101</v>
      </c>
      <c r="I66" s="208" t="s">
        <v>93</v>
      </c>
      <c r="J66" s="209"/>
      <c r="K66" s="20">
        <f>K61</f>
        <v>777.26300000000003</v>
      </c>
    </row>
    <row r="67" spans="2:11" x14ac:dyDescent="0.25">
      <c r="C67" s="202" t="s">
        <v>80</v>
      </c>
      <c r="D67" s="203"/>
      <c r="E67" s="204"/>
      <c r="F67" s="22">
        <f>SUM(F64:F66)</f>
        <v>2978.9896699999999</v>
      </c>
      <c r="H67" s="202" t="s">
        <v>80</v>
      </c>
      <c r="I67" s="203"/>
      <c r="J67" s="204"/>
      <c r="K67" s="22">
        <f>SUM(K64:K66)</f>
        <v>2149.3870866666666</v>
      </c>
    </row>
    <row r="68" spans="2:11" x14ac:dyDescent="0.25">
      <c r="C68" s="193"/>
      <c r="D68" s="194"/>
      <c r="E68" s="194"/>
      <c r="F68" s="195"/>
      <c r="H68" s="193"/>
      <c r="I68" s="194"/>
      <c r="J68" s="194"/>
      <c r="K68" s="195"/>
    </row>
    <row r="69" spans="2:11" x14ac:dyDescent="0.25">
      <c r="C69" s="190" t="s">
        <v>102</v>
      </c>
      <c r="D69" s="191"/>
      <c r="E69" s="191"/>
      <c r="F69" s="192"/>
      <c r="H69" s="190" t="s">
        <v>102</v>
      </c>
      <c r="I69" s="191"/>
      <c r="J69" s="191"/>
      <c r="K69" s="192"/>
    </row>
    <row r="70" spans="2:11" x14ac:dyDescent="0.25">
      <c r="C70" s="193"/>
      <c r="D70" s="194"/>
      <c r="E70" s="194"/>
      <c r="F70" s="195"/>
      <c r="H70" s="193"/>
      <c r="I70" s="194"/>
      <c r="J70" s="194"/>
      <c r="K70" s="195"/>
    </row>
    <row r="71" spans="2:11" x14ac:dyDescent="0.25">
      <c r="C71" s="12">
        <v>3</v>
      </c>
      <c r="D71" s="23" t="s">
        <v>103</v>
      </c>
      <c r="E71" s="22" t="s">
        <v>77</v>
      </c>
      <c r="F71" s="22" t="s">
        <v>65</v>
      </c>
      <c r="H71" s="12">
        <v>3</v>
      </c>
      <c r="I71" s="23" t="s">
        <v>103</v>
      </c>
      <c r="J71" s="22" t="s">
        <v>77</v>
      </c>
      <c r="K71" s="22" t="s">
        <v>65</v>
      </c>
    </row>
    <row r="72" spans="2:11" x14ac:dyDescent="0.25">
      <c r="B72" s="129" t="s">
        <v>201</v>
      </c>
      <c r="C72" s="24" t="s">
        <v>66</v>
      </c>
      <c r="D72" s="25" t="s">
        <v>104</v>
      </c>
      <c r="E72" s="35">
        <f>0.42/100</f>
        <v>4.1999999999999997E-3</v>
      </c>
      <c r="F72" s="20">
        <f>E72*F35</f>
        <v>14.585571</v>
      </c>
      <c r="H72" s="24" t="s">
        <v>66</v>
      </c>
      <c r="I72" s="25" t="s">
        <v>104</v>
      </c>
      <c r="J72" s="35">
        <f>0.42/100</f>
        <v>4.1999999999999997E-3</v>
      </c>
      <c r="K72" s="20">
        <f>J72*K35</f>
        <v>14.585571</v>
      </c>
    </row>
    <row r="73" spans="2:11" x14ac:dyDescent="0.25">
      <c r="B73" s="129" t="s">
        <v>1085</v>
      </c>
      <c r="C73" s="24" t="s">
        <v>39</v>
      </c>
      <c r="D73" s="25" t="s">
        <v>105</v>
      </c>
      <c r="E73" s="35">
        <f>0.08*E72</f>
        <v>3.3599999999999998E-4</v>
      </c>
      <c r="F73" s="20">
        <f>E73*F35</f>
        <v>1.16684568</v>
      </c>
      <c r="H73" s="24" t="s">
        <v>39</v>
      </c>
      <c r="I73" s="25" t="s">
        <v>105</v>
      </c>
      <c r="J73" s="35">
        <f>0.08*J72</f>
        <v>3.3599999999999998E-4</v>
      </c>
      <c r="K73" s="20">
        <f>J73*K35</f>
        <v>1.16684568</v>
      </c>
    </row>
    <row r="74" spans="2:11" x14ac:dyDescent="0.25">
      <c r="B74" s="129" t="s">
        <v>202</v>
      </c>
      <c r="C74" s="24" t="s">
        <v>42</v>
      </c>
      <c r="D74" s="25" t="s">
        <v>106</v>
      </c>
      <c r="E74" s="35">
        <f>0.4*0.08*0.05</f>
        <v>1.6000000000000001E-3</v>
      </c>
      <c r="F74" s="20">
        <f>F35*E74</f>
        <v>5.5564080000000002</v>
      </c>
      <c r="H74" s="24" t="s">
        <v>42</v>
      </c>
      <c r="I74" s="25" t="s">
        <v>106</v>
      </c>
      <c r="J74" s="35">
        <f>0.4*0.08*0.05</f>
        <v>1.6000000000000001E-3</v>
      </c>
      <c r="K74" s="20">
        <f>K35*J74</f>
        <v>5.5564080000000002</v>
      </c>
    </row>
    <row r="75" spans="2:11" x14ac:dyDescent="0.25">
      <c r="B75" s="129" t="s">
        <v>203</v>
      </c>
      <c r="C75" s="24" t="s">
        <v>44</v>
      </c>
      <c r="D75" s="25" t="s">
        <v>198</v>
      </c>
      <c r="E75" s="35">
        <f>((7/30)/12)</f>
        <v>1.9444444444444445E-2</v>
      </c>
      <c r="F75" s="20">
        <f>E75*F35</f>
        <v>67.525791666666663</v>
      </c>
      <c r="H75" s="24" t="s">
        <v>44</v>
      </c>
      <c r="I75" s="25" t="s">
        <v>198</v>
      </c>
      <c r="J75" s="35">
        <f>((7/30)/12)</f>
        <v>1.9444444444444445E-2</v>
      </c>
      <c r="K75" s="20">
        <f>J75*K35</f>
        <v>67.525791666666663</v>
      </c>
    </row>
    <row r="76" spans="2:11" ht="25.5" x14ac:dyDescent="0.25">
      <c r="B76" s="129" t="s">
        <v>1086</v>
      </c>
      <c r="C76" s="24" t="s">
        <v>47</v>
      </c>
      <c r="D76" s="25" t="s">
        <v>108</v>
      </c>
      <c r="E76" s="35">
        <f>0.368*E75</f>
        <v>7.1555555555555556E-3</v>
      </c>
      <c r="F76" s="20">
        <f>F35*E76</f>
        <v>24.849491333333333</v>
      </c>
      <c r="H76" s="24" t="s">
        <v>47</v>
      </c>
      <c r="I76" s="25" t="s">
        <v>108</v>
      </c>
      <c r="J76" s="35">
        <f>0.368*J75</f>
        <v>7.1555555555555556E-3</v>
      </c>
      <c r="K76" s="20">
        <f>K35*J76</f>
        <v>24.849491333333333</v>
      </c>
    </row>
    <row r="77" spans="2:11" x14ac:dyDescent="0.25">
      <c r="B77" s="129" t="s">
        <v>204</v>
      </c>
      <c r="C77" s="24" t="s">
        <v>50</v>
      </c>
      <c r="D77" s="25" t="s">
        <v>109</v>
      </c>
      <c r="E77" s="35">
        <f>0.4*0.08*0.95</f>
        <v>3.04E-2</v>
      </c>
      <c r="F77" s="20">
        <f>F35*E77</f>
        <v>105.571752</v>
      </c>
      <c r="H77" s="24" t="s">
        <v>50</v>
      </c>
      <c r="I77" s="25" t="s">
        <v>109</v>
      </c>
      <c r="J77" s="35">
        <f>0.4*0.08*0.95</f>
        <v>3.04E-2</v>
      </c>
      <c r="K77" s="20">
        <f>K35*J77</f>
        <v>105.571752</v>
      </c>
    </row>
    <row r="78" spans="2:11" x14ac:dyDescent="0.25">
      <c r="C78" s="202" t="s">
        <v>110</v>
      </c>
      <c r="D78" s="203"/>
      <c r="E78" s="204"/>
      <c r="F78" s="22">
        <f>SUM(F72:F77)</f>
        <v>219.25585968000001</v>
      </c>
      <c r="H78" s="202" t="s">
        <v>110</v>
      </c>
      <c r="I78" s="203"/>
      <c r="J78" s="204"/>
      <c r="K78" s="22">
        <f>SUM(K72:K77)</f>
        <v>219.25585968000001</v>
      </c>
    </row>
    <row r="79" spans="2:11" x14ac:dyDescent="0.25">
      <c r="C79" s="193"/>
      <c r="D79" s="194"/>
      <c r="E79" s="194"/>
      <c r="F79" s="195"/>
      <c r="H79" s="193"/>
      <c r="I79" s="194"/>
      <c r="J79" s="194"/>
      <c r="K79" s="195"/>
    </row>
    <row r="80" spans="2:11" x14ac:dyDescent="0.25">
      <c r="C80" s="190" t="s">
        <v>111</v>
      </c>
      <c r="D80" s="191"/>
      <c r="E80" s="191"/>
      <c r="F80" s="192"/>
      <c r="H80" s="190" t="s">
        <v>111</v>
      </c>
      <c r="I80" s="191"/>
      <c r="J80" s="191"/>
      <c r="K80" s="192"/>
    </row>
    <row r="81" spans="3:11" x14ac:dyDescent="0.25">
      <c r="C81" s="210"/>
      <c r="D81" s="211"/>
      <c r="E81" s="211"/>
      <c r="F81" s="212"/>
      <c r="H81" s="210"/>
      <c r="I81" s="211"/>
      <c r="J81" s="211"/>
      <c r="K81" s="212"/>
    </row>
    <row r="82" spans="3:11" x14ac:dyDescent="0.25">
      <c r="C82" s="22" t="s">
        <v>112</v>
      </c>
      <c r="D82" s="23" t="s">
        <v>113</v>
      </c>
      <c r="E82" s="26" t="s">
        <v>77</v>
      </c>
      <c r="F82" s="22" t="s">
        <v>65</v>
      </c>
      <c r="H82" s="22" t="s">
        <v>112</v>
      </c>
      <c r="I82" s="23" t="s">
        <v>113</v>
      </c>
      <c r="J82" s="26" t="s">
        <v>77</v>
      </c>
      <c r="K82" s="22" t="s">
        <v>65</v>
      </c>
    </row>
    <row r="83" spans="3:11" x14ac:dyDescent="0.25">
      <c r="C83" s="24" t="s">
        <v>66</v>
      </c>
      <c r="D83" s="25" t="s">
        <v>114</v>
      </c>
      <c r="E83" s="35">
        <f>(((1+1/3)/12)/12)</f>
        <v>9.2592592592592587E-3</v>
      </c>
      <c r="F83" s="20">
        <f>($F$78+$F$67+$F$35)*E83</f>
        <v>61.768523422962957</v>
      </c>
      <c r="H83" s="24" t="s">
        <v>66</v>
      </c>
      <c r="I83" s="25" t="s">
        <v>114</v>
      </c>
      <c r="J83" s="35">
        <f>(((1+1/3)/12)/12)</f>
        <v>9.2592592592592587E-3</v>
      </c>
      <c r="K83" s="20">
        <f>($F$78+$F$67+$F$35)*J83</f>
        <v>61.768523422962957</v>
      </c>
    </row>
    <row r="84" spans="3:11" x14ac:dyDescent="0.25">
      <c r="C84" s="24" t="s">
        <v>39</v>
      </c>
      <c r="D84" s="25" t="s">
        <v>115</v>
      </c>
      <c r="E84" s="35">
        <f>((2/30)/12)</f>
        <v>5.5555555555555558E-3</v>
      </c>
      <c r="F84" s="20">
        <f t="shared" ref="F84:F88" si="2">($F$78+$F$67+$F$35)*E84</f>
        <v>37.061114053777779</v>
      </c>
      <c r="H84" s="24" t="s">
        <v>39</v>
      </c>
      <c r="I84" s="25" t="s">
        <v>115</v>
      </c>
      <c r="J84" s="35">
        <f>((2/30)/12)</f>
        <v>5.5555555555555558E-3</v>
      </c>
      <c r="K84" s="20">
        <f t="shared" ref="K84:K88" si="3">($F$78+$F$67+$F$35)*J84</f>
        <v>37.061114053777779</v>
      </c>
    </row>
    <row r="85" spans="3:11" x14ac:dyDescent="0.25">
      <c r="C85" s="24" t="s">
        <v>42</v>
      </c>
      <c r="D85" s="25" t="s">
        <v>116</v>
      </c>
      <c r="E85" s="52">
        <f>((5/30)/12)*0.015</f>
        <v>2.0833333333333332E-4</v>
      </c>
      <c r="F85" s="20">
        <f t="shared" si="2"/>
        <v>1.3897917770166666</v>
      </c>
      <c r="H85" s="24" t="s">
        <v>42</v>
      </c>
      <c r="I85" s="25" t="s">
        <v>116</v>
      </c>
      <c r="J85" s="52">
        <f>((5/30)/12)*0.015</f>
        <v>2.0833333333333332E-4</v>
      </c>
      <c r="K85" s="20">
        <f t="shared" si="3"/>
        <v>1.3897917770166666</v>
      </c>
    </row>
    <row r="86" spans="3:11" x14ac:dyDescent="0.25">
      <c r="C86" s="24" t="s">
        <v>44</v>
      </c>
      <c r="D86" s="25" t="s">
        <v>117</v>
      </c>
      <c r="E86" s="35">
        <f>(((15/30)/12)*0.08)</f>
        <v>3.3333333333333331E-3</v>
      </c>
      <c r="F86" s="20">
        <f t="shared" si="2"/>
        <v>22.236668432266665</v>
      </c>
      <c r="H86" s="24" t="s">
        <v>44</v>
      </c>
      <c r="I86" s="25" t="s">
        <v>117</v>
      </c>
      <c r="J86" s="35">
        <f>(((15/30)/12)*0.08)</f>
        <v>3.3333333333333331E-3</v>
      </c>
      <c r="K86" s="20">
        <f t="shared" si="3"/>
        <v>22.236668432266665</v>
      </c>
    </row>
    <row r="87" spans="3:11" x14ac:dyDescent="0.25">
      <c r="C87" s="24" t="s">
        <v>47</v>
      </c>
      <c r="D87" s="25" t="s">
        <v>118</v>
      </c>
      <c r="E87" s="52">
        <f>0.0144*0.1*0.4509*6/12</f>
        <v>3.2464800000000003E-4</v>
      </c>
      <c r="F87" s="20">
        <f t="shared" si="2"/>
        <v>2.1657269799595529</v>
      </c>
      <c r="H87" s="24" t="s">
        <v>47</v>
      </c>
      <c r="I87" s="25" t="s">
        <v>118</v>
      </c>
      <c r="J87" s="52">
        <f>0.0144*0.1*0.4509*6/12</f>
        <v>3.2464800000000003E-4</v>
      </c>
      <c r="K87" s="20">
        <f t="shared" si="3"/>
        <v>2.1657269799595529</v>
      </c>
    </row>
    <row r="88" spans="3:11" x14ac:dyDescent="0.25">
      <c r="C88" s="24" t="s">
        <v>50</v>
      </c>
      <c r="D88" s="25" t="s">
        <v>119</v>
      </c>
      <c r="E88" s="35">
        <v>0</v>
      </c>
      <c r="F88" s="20">
        <f t="shared" si="2"/>
        <v>0</v>
      </c>
      <c r="H88" s="24" t="s">
        <v>50</v>
      </c>
      <c r="I88" s="25" t="s">
        <v>119</v>
      </c>
      <c r="J88" s="35">
        <v>0</v>
      </c>
      <c r="K88" s="20">
        <f t="shared" si="3"/>
        <v>0</v>
      </c>
    </row>
    <row r="89" spans="3:11" x14ac:dyDescent="0.25">
      <c r="C89" s="202" t="s">
        <v>80</v>
      </c>
      <c r="D89" s="203"/>
      <c r="E89" s="204"/>
      <c r="F89" s="22">
        <f>SUM(F83:F88)</f>
        <v>124.62182466598364</v>
      </c>
      <c r="H89" s="202" t="s">
        <v>80</v>
      </c>
      <c r="I89" s="203"/>
      <c r="J89" s="204"/>
      <c r="K89" s="22">
        <f>SUM(K83:K88)</f>
        <v>124.62182466598364</v>
      </c>
    </row>
    <row r="90" spans="3:11" x14ac:dyDescent="0.25">
      <c r="C90" s="193"/>
      <c r="D90" s="194"/>
      <c r="E90" s="194"/>
      <c r="F90" s="195"/>
      <c r="H90" s="193"/>
      <c r="I90" s="194"/>
      <c r="J90" s="194"/>
      <c r="K90" s="195"/>
    </row>
    <row r="91" spans="3:11" x14ac:dyDescent="0.25">
      <c r="C91" s="27" t="s">
        <v>120</v>
      </c>
      <c r="D91" s="27" t="s">
        <v>121</v>
      </c>
      <c r="E91" s="26" t="s">
        <v>77</v>
      </c>
      <c r="F91" s="22" t="s">
        <v>65</v>
      </c>
      <c r="H91" s="27" t="s">
        <v>120</v>
      </c>
      <c r="I91" s="27" t="s">
        <v>121</v>
      </c>
      <c r="J91" s="26" t="s">
        <v>77</v>
      </c>
      <c r="K91" s="22" t="s">
        <v>65</v>
      </c>
    </row>
    <row r="92" spans="3:11" x14ac:dyDescent="0.25">
      <c r="C92" s="20" t="s">
        <v>66</v>
      </c>
      <c r="D92" s="21" t="s">
        <v>122</v>
      </c>
      <c r="E92" s="28">
        <v>0</v>
      </c>
      <c r="F92" s="20">
        <v>0</v>
      </c>
      <c r="H92" s="20" t="s">
        <v>66</v>
      </c>
      <c r="I92" s="21" t="s">
        <v>122</v>
      </c>
      <c r="J92" s="28">
        <v>0</v>
      </c>
      <c r="K92" s="20">
        <v>0</v>
      </c>
    </row>
    <row r="93" spans="3:11" x14ac:dyDescent="0.25">
      <c r="C93" s="202" t="s">
        <v>80</v>
      </c>
      <c r="D93" s="204"/>
      <c r="E93" s="39">
        <v>0</v>
      </c>
      <c r="F93" s="22">
        <v>0</v>
      </c>
      <c r="H93" s="202" t="s">
        <v>80</v>
      </c>
      <c r="I93" s="204"/>
      <c r="J93" s="39">
        <v>0</v>
      </c>
      <c r="K93" s="22">
        <v>0</v>
      </c>
    </row>
    <row r="94" spans="3:11" x14ac:dyDescent="0.25">
      <c r="C94" s="193"/>
      <c r="D94" s="194"/>
      <c r="E94" s="194"/>
      <c r="F94" s="195"/>
      <c r="H94" s="193"/>
      <c r="I94" s="194"/>
      <c r="J94" s="194"/>
      <c r="K94" s="195"/>
    </row>
    <row r="95" spans="3:11" x14ac:dyDescent="0.25">
      <c r="C95" s="202" t="s">
        <v>123</v>
      </c>
      <c r="D95" s="203"/>
      <c r="E95" s="204"/>
      <c r="F95" s="22" t="s">
        <v>65</v>
      </c>
      <c r="H95" s="202" t="s">
        <v>123</v>
      </c>
      <c r="I95" s="203"/>
      <c r="J95" s="204"/>
      <c r="K95" s="22" t="s">
        <v>65</v>
      </c>
    </row>
    <row r="96" spans="3:11" x14ac:dyDescent="0.25">
      <c r="C96" s="20" t="s">
        <v>112</v>
      </c>
      <c r="D96" s="213" t="s">
        <v>113</v>
      </c>
      <c r="E96" s="214"/>
      <c r="F96" s="20">
        <f>F89</f>
        <v>124.62182466598364</v>
      </c>
      <c r="H96" s="20" t="s">
        <v>112</v>
      </c>
      <c r="I96" s="213" t="s">
        <v>113</v>
      </c>
      <c r="J96" s="214"/>
      <c r="K96" s="20">
        <f>K89</f>
        <v>124.62182466598364</v>
      </c>
    </row>
    <row r="97" spans="3:11" x14ac:dyDescent="0.25">
      <c r="C97" s="20" t="s">
        <v>120</v>
      </c>
      <c r="D97" s="213" t="s">
        <v>121</v>
      </c>
      <c r="E97" s="214"/>
      <c r="F97" s="20">
        <v>0</v>
      </c>
      <c r="H97" s="20" t="s">
        <v>120</v>
      </c>
      <c r="I97" s="213" t="s">
        <v>121</v>
      </c>
      <c r="J97" s="214"/>
      <c r="K97" s="20">
        <v>0</v>
      </c>
    </row>
    <row r="98" spans="3:11" x14ac:dyDescent="0.25">
      <c r="C98" s="202" t="s">
        <v>124</v>
      </c>
      <c r="D98" s="203"/>
      <c r="E98" s="204"/>
      <c r="F98" s="22">
        <f>SUM(F96:F97)</f>
        <v>124.62182466598364</v>
      </c>
      <c r="H98" s="202" t="s">
        <v>124</v>
      </c>
      <c r="I98" s="203"/>
      <c r="J98" s="204"/>
      <c r="K98" s="22">
        <f>SUM(K96:K97)</f>
        <v>124.62182466598364</v>
      </c>
    </row>
    <row r="99" spans="3:11" x14ac:dyDescent="0.25">
      <c r="C99" s="193"/>
      <c r="D99" s="194"/>
      <c r="E99" s="194"/>
      <c r="F99" s="195"/>
      <c r="H99" s="193"/>
      <c r="I99" s="194"/>
      <c r="J99" s="194"/>
      <c r="K99" s="195"/>
    </row>
    <row r="100" spans="3:11" x14ac:dyDescent="0.25">
      <c r="C100" s="190" t="s">
        <v>125</v>
      </c>
      <c r="D100" s="191"/>
      <c r="E100" s="191"/>
      <c r="F100" s="192"/>
      <c r="H100" s="190" t="s">
        <v>125</v>
      </c>
      <c r="I100" s="191"/>
      <c r="J100" s="191"/>
      <c r="K100" s="192"/>
    </row>
    <row r="101" spans="3:11" x14ac:dyDescent="0.25">
      <c r="C101" s="210"/>
      <c r="D101" s="211"/>
      <c r="E101" s="211"/>
      <c r="F101" s="212"/>
      <c r="H101" s="210"/>
      <c r="I101" s="211"/>
      <c r="J101" s="211"/>
      <c r="K101" s="212"/>
    </row>
    <row r="102" spans="3:11" x14ac:dyDescent="0.25">
      <c r="C102" s="12">
        <v>5</v>
      </c>
      <c r="D102" s="202" t="s">
        <v>126</v>
      </c>
      <c r="E102" s="204"/>
      <c r="F102" s="22" t="s">
        <v>65</v>
      </c>
      <c r="H102" s="12">
        <v>5</v>
      </c>
      <c r="I102" s="202" t="s">
        <v>126</v>
      </c>
      <c r="J102" s="204"/>
      <c r="K102" s="22" t="s">
        <v>65</v>
      </c>
    </row>
    <row r="103" spans="3:11" x14ac:dyDescent="0.25">
      <c r="C103" s="24" t="s">
        <v>66</v>
      </c>
      <c r="D103" s="216" t="s">
        <v>127</v>
      </c>
      <c r="E103" s="217"/>
      <c r="F103" s="20">
        <f>UNIFORMES!E9</f>
        <v>75.355555555555569</v>
      </c>
      <c r="H103" s="24" t="s">
        <v>66</v>
      </c>
      <c r="I103" s="216" t="s">
        <v>127</v>
      </c>
      <c r="J103" s="217"/>
      <c r="K103" s="118">
        <f>UNIFORMES!E9</f>
        <v>75.355555555555569</v>
      </c>
    </row>
    <row r="104" spans="3:11" x14ac:dyDescent="0.25">
      <c r="C104" s="24" t="s">
        <v>39</v>
      </c>
      <c r="D104" s="29" t="s">
        <v>128</v>
      </c>
      <c r="E104" s="30"/>
      <c r="F104" s="20">
        <v>0</v>
      </c>
      <c r="H104" s="24" t="s">
        <v>39</v>
      </c>
      <c r="I104" s="29" t="s">
        <v>128</v>
      </c>
      <c r="J104" s="30"/>
      <c r="K104" s="20">
        <v>0</v>
      </c>
    </row>
    <row r="105" spans="3:11" x14ac:dyDescent="0.25">
      <c r="C105" s="24" t="s">
        <v>42</v>
      </c>
      <c r="D105" s="216" t="s">
        <v>129</v>
      </c>
      <c r="E105" s="217"/>
      <c r="F105" s="118">
        <f>'Ferramentas de Uso Geral'!E60+'Ferramentas ELE-TEC-MEC'!E33</f>
        <v>86.806103703703698</v>
      </c>
      <c r="H105" s="24" t="s">
        <v>42</v>
      </c>
      <c r="I105" s="216" t="s">
        <v>129</v>
      </c>
      <c r="J105" s="217"/>
      <c r="K105" s="118">
        <f>'Ferramentas de Uso Geral'!E60+'Ferramentas ELE-TEC-MEC'!E33</f>
        <v>86.806103703703698</v>
      </c>
    </row>
    <row r="106" spans="3:11" x14ac:dyDescent="0.25">
      <c r="C106" s="24" t="s">
        <v>44</v>
      </c>
      <c r="D106" s="216" t="s">
        <v>130</v>
      </c>
      <c r="E106" s="217"/>
      <c r="F106" s="20">
        <v>0</v>
      </c>
      <c r="H106" s="24" t="s">
        <v>44</v>
      </c>
      <c r="I106" s="216" t="s">
        <v>130</v>
      </c>
      <c r="J106" s="217"/>
      <c r="K106" s="20">
        <v>0</v>
      </c>
    </row>
    <row r="107" spans="3:11" x14ac:dyDescent="0.25">
      <c r="C107" s="202" t="s">
        <v>131</v>
      </c>
      <c r="D107" s="203"/>
      <c r="E107" s="204"/>
      <c r="F107" s="22">
        <f>SUM(F103:F106)</f>
        <v>162.16165925925927</v>
      </c>
      <c r="H107" s="202" t="s">
        <v>131</v>
      </c>
      <c r="I107" s="203"/>
      <c r="J107" s="204"/>
      <c r="K107" s="22">
        <f>SUM(K103:K106)</f>
        <v>162.16165925925927</v>
      </c>
    </row>
    <row r="108" spans="3:11" x14ac:dyDescent="0.25">
      <c r="C108" s="193"/>
      <c r="D108" s="194"/>
      <c r="E108" s="194"/>
      <c r="F108" s="195"/>
      <c r="H108" s="193"/>
      <c r="I108" s="194"/>
      <c r="J108" s="194"/>
      <c r="K108" s="195"/>
    </row>
    <row r="109" spans="3:11" x14ac:dyDescent="0.25">
      <c r="C109" s="215" t="s">
        <v>132</v>
      </c>
      <c r="D109" s="215"/>
      <c r="E109" s="215"/>
      <c r="F109" s="41">
        <f>F107+F98+F78+F35+F67</f>
        <v>6957.7840136052428</v>
      </c>
      <c r="H109" s="215" t="s">
        <v>132</v>
      </c>
      <c r="I109" s="215"/>
      <c r="J109" s="215"/>
      <c r="K109" s="41">
        <f>K107+K98+K78+K35+K67</f>
        <v>6128.1814302719094</v>
      </c>
    </row>
    <row r="110" spans="3:11" x14ac:dyDescent="0.25">
      <c r="C110" s="189"/>
      <c r="D110" s="189"/>
      <c r="E110" s="189"/>
      <c r="F110" s="189"/>
      <c r="H110" s="189"/>
      <c r="I110" s="189"/>
      <c r="J110" s="189"/>
      <c r="K110" s="189"/>
    </row>
    <row r="111" spans="3:11" x14ac:dyDescent="0.25">
      <c r="C111" s="228" t="s">
        <v>133</v>
      </c>
      <c r="D111" s="228"/>
      <c r="E111" s="228"/>
      <c r="F111" s="228"/>
      <c r="H111" s="228" t="s">
        <v>133</v>
      </c>
      <c r="I111" s="228"/>
      <c r="J111" s="228"/>
      <c r="K111" s="228"/>
    </row>
    <row r="112" spans="3:11" x14ac:dyDescent="0.25">
      <c r="C112" s="193"/>
      <c r="D112" s="194"/>
      <c r="E112" s="194"/>
      <c r="F112" s="195"/>
      <c r="H112" s="193"/>
      <c r="I112" s="194"/>
      <c r="J112" s="194"/>
      <c r="K112" s="195"/>
    </row>
    <row r="113" spans="3:11" x14ac:dyDescent="0.25">
      <c r="C113" s="12">
        <v>6</v>
      </c>
      <c r="D113" s="40" t="s">
        <v>134</v>
      </c>
      <c r="E113" s="22" t="s">
        <v>77</v>
      </c>
      <c r="F113" s="22" t="s">
        <v>65</v>
      </c>
      <c r="H113" s="12">
        <v>6</v>
      </c>
      <c r="I113" s="40" t="s">
        <v>134</v>
      </c>
      <c r="J113" s="22" t="s">
        <v>77</v>
      </c>
      <c r="K113" s="22" t="s">
        <v>65</v>
      </c>
    </row>
    <row r="114" spans="3:11" x14ac:dyDescent="0.25">
      <c r="C114" s="24" t="s">
        <v>66</v>
      </c>
      <c r="D114" s="25" t="s">
        <v>135</v>
      </c>
      <c r="E114" s="35">
        <f>6.06/100</f>
        <v>6.0599999999999994E-2</v>
      </c>
      <c r="F114" s="20">
        <f>E114*F109</f>
        <v>421.64171122447766</v>
      </c>
      <c r="H114" s="24" t="s">
        <v>66</v>
      </c>
      <c r="I114" s="25" t="s">
        <v>135</v>
      </c>
      <c r="J114" s="35">
        <f>6.06/100</f>
        <v>6.0599999999999994E-2</v>
      </c>
      <c r="K114" s="20">
        <f>J114*K109</f>
        <v>371.36779467447769</v>
      </c>
    </row>
    <row r="115" spans="3:11" x14ac:dyDescent="0.25">
      <c r="C115" s="24" t="s">
        <v>39</v>
      </c>
      <c r="D115" s="25" t="s">
        <v>136</v>
      </c>
      <c r="E115" s="35">
        <f>7.4/100</f>
        <v>7.400000000000001E-2</v>
      </c>
      <c r="F115" s="20">
        <f>E115*(F109+F114)</f>
        <v>546.07750363739945</v>
      </c>
      <c r="H115" s="24" t="s">
        <v>39</v>
      </c>
      <c r="I115" s="25" t="s">
        <v>136</v>
      </c>
      <c r="J115" s="35">
        <f>7.4/100</f>
        <v>7.400000000000001E-2</v>
      </c>
      <c r="K115" s="20">
        <f>J115*(K109+K114)</f>
        <v>480.96664264603271</v>
      </c>
    </row>
    <row r="116" spans="3:11" x14ac:dyDescent="0.25">
      <c r="C116" s="24" t="s">
        <v>42</v>
      </c>
      <c r="D116" s="208" t="s">
        <v>137</v>
      </c>
      <c r="E116" s="218"/>
      <c r="F116" s="209"/>
      <c r="H116" s="24" t="s">
        <v>42</v>
      </c>
      <c r="I116" s="208" t="s">
        <v>137</v>
      </c>
      <c r="J116" s="218"/>
      <c r="K116" s="209"/>
    </row>
    <row r="117" spans="3:11" x14ac:dyDescent="0.25">
      <c r="C117" s="24" t="s">
        <v>138</v>
      </c>
      <c r="D117" s="7" t="s">
        <v>205</v>
      </c>
      <c r="E117" s="219">
        <v>8.6499999999999994E-2</v>
      </c>
      <c r="F117" s="222">
        <f>((F114+F109+F115)/(1-E117))-(F109+F115+F114)</f>
        <v>750.47184374647713</v>
      </c>
      <c r="H117" s="24" t="s">
        <v>138</v>
      </c>
      <c r="I117" s="7" t="s">
        <v>205</v>
      </c>
      <c r="J117" s="219">
        <v>8.6499999999999994E-2</v>
      </c>
      <c r="K117" s="222">
        <f>((K114+K109+K115)/(1-J117))-(K109+K115+K114)</f>
        <v>660.99028193403865</v>
      </c>
    </row>
    <row r="118" spans="3:11" x14ac:dyDescent="0.25">
      <c r="C118" s="24" t="s">
        <v>139</v>
      </c>
      <c r="D118" s="7" t="s">
        <v>206</v>
      </c>
      <c r="E118" s="220"/>
      <c r="F118" s="223"/>
      <c r="H118" s="24" t="s">
        <v>139</v>
      </c>
      <c r="I118" s="7" t="s">
        <v>206</v>
      </c>
      <c r="J118" s="220"/>
      <c r="K118" s="223"/>
    </row>
    <row r="119" spans="3:11" x14ac:dyDescent="0.25">
      <c r="C119" s="24" t="s">
        <v>140</v>
      </c>
      <c r="D119" s="7" t="s">
        <v>207</v>
      </c>
      <c r="E119" s="221"/>
      <c r="F119" s="224"/>
      <c r="H119" s="24" t="s">
        <v>140</v>
      </c>
      <c r="I119" s="7" t="s">
        <v>207</v>
      </c>
      <c r="J119" s="221"/>
      <c r="K119" s="224"/>
    </row>
    <row r="120" spans="3:11" x14ac:dyDescent="0.25">
      <c r="C120" s="229" t="s">
        <v>141</v>
      </c>
      <c r="D120" s="230"/>
      <c r="E120" s="231"/>
      <c r="F120" s="22">
        <f>SUM(F114,F115,F117,F118,F119)</f>
        <v>1718.1910586083543</v>
      </c>
      <c r="H120" s="229" t="s">
        <v>141</v>
      </c>
      <c r="I120" s="230"/>
      <c r="J120" s="231"/>
      <c r="K120" s="22">
        <f>SUM(K114,K115,K117,K118,K119)</f>
        <v>1513.3247192545491</v>
      </c>
    </row>
    <row r="121" spans="3:11" x14ac:dyDescent="0.25">
      <c r="C121" s="193"/>
      <c r="D121" s="194"/>
      <c r="E121" s="194"/>
      <c r="F121" s="195"/>
      <c r="H121" s="193"/>
      <c r="I121" s="194"/>
      <c r="J121" s="194"/>
      <c r="K121" s="195"/>
    </row>
    <row r="122" spans="3:11" x14ac:dyDescent="0.25">
      <c r="C122" s="232" t="s">
        <v>142</v>
      </c>
      <c r="D122" s="233"/>
      <c r="E122" s="234"/>
      <c r="F122" s="43" t="s">
        <v>65</v>
      </c>
      <c r="H122" s="232" t="s">
        <v>142</v>
      </c>
      <c r="I122" s="233"/>
      <c r="J122" s="234"/>
      <c r="K122" s="43" t="s">
        <v>65</v>
      </c>
    </row>
    <row r="123" spans="3:11" x14ac:dyDescent="0.25">
      <c r="C123" s="180" t="s">
        <v>143</v>
      </c>
      <c r="D123" s="181"/>
      <c r="E123" s="181"/>
      <c r="F123" s="182"/>
      <c r="H123" s="180" t="s">
        <v>143</v>
      </c>
      <c r="I123" s="181"/>
      <c r="J123" s="181"/>
      <c r="K123" s="182"/>
    </row>
    <row r="124" spans="3:11" x14ac:dyDescent="0.25">
      <c r="C124" s="6" t="s">
        <v>66</v>
      </c>
      <c r="D124" s="183" t="s">
        <v>144</v>
      </c>
      <c r="E124" s="184"/>
      <c r="F124" s="20">
        <f>F35</f>
        <v>3472.7550000000001</v>
      </c>
      <c r="H124" s="6" t="s">
        <v>66</v>
      </c>
      <c r="I124" s="183" t="s">
        <v>144</v>
      </c>
      <c r="J124" s="184"/>
      <c r="K124" s="20">
        <f>K35</f>
        <v>3472.7550000000001</v>
      </c>
    </row>
    <row r="125" spans="3:11" x14ac:dyDescent="0.25">
      <c r="C125" s="6" t="s">
        <v>39</v>
      </c>
      <c r="D125" s="183" t="s">
        <v>145</v>
      </c>
      <c r="E125" s="184"/>
      <c r="F125" s="20">
        <f>F67</f>
        <v>2978.9896699999999</v>
      </c>
      <c r="H125" s="6" t="s">
        <v>39</v>
      </c>
      <c r="I125" s="183" t="s">
        <v>145</v>
      </c>
      <c r="J125" s="184"/>
      <c r="K125" s="20">
        <f>K67</f>
        <v>2149.3870866666666</v>
      </c>
    </row>
    <row r="126" spans="3:11" x14ac:dyDescent="0.25">
      <c r="C126" s="6" t="s">
        <v>42</v>
      </c>
      <c r="D126" s="183" t="s">
        <v>146</v>
      </c>
      <c r="E126" s="184"/>
      <c r="F126" s="20">
        <f>F78</f>
        <v>219.25585968000001</v>
      </c>
      <c r="H126" s="6" t="s">
        <v>42</v>
      </c>
      <c r="I126" s="183" t="s">
        <v>146</v>
      </c>
      <c r="J126" s="184"/>
      <c r="K126" s="20">
        <f>K78</f>
        <v>219.25585968000001</v>
      </c>
    </row>
    <row r="127" spans="3:11" x14ac:dyDescent="0.25">
      <c r="C127" s="6" t="s">
        <v>44</v>
      </c>
      <c r="D127" s="183" t="s">
        <v>147</v>
      </c>
      <c r="E127" s="184"/>
      <c r="F127" s="20">
        <f>F98</f>
        <v>124.62182466598364</v>
      </c>
      <c r="H127" s="6" t="s">
        <v>44</v>
      </c>
      <c r="I127" s="183" t="s">
        <v>147</v>
      </c>
      <c r="J127" s="184"/>
      <c r="K127" s="20">
        <f>K98</f>
        <v>124.62182466598364</v>
      </c>
    </row>
    <row r="128" spans="3:11" x14ac:dyDescent="0.25">
      <c r="C128" s="6" t="s">
        <v>47</v>
      </c>
      <c r="D128" s="183" t="s">
        <v>148</v>
      </c>
      <c r="E128" s="184"/>
      <c r="F128" s="20">
        <f>F107</f>
        <v>162.16165925925927</v>
      </c>
      <c r="H128" s="6" t="s">
        <v>47</v>
      </c>
      <c r="I128" s="183" t="s">
        <v>148</v>
      </c>
      <c r="J128" s="184"/>
      <c r="K128" s="20">
        <f>K107</f>
        <v>162.16165925925927</v>
      </c>
    </row>
    <row r="129" spans="3:11" x14ac:dyDescent="0.25">
      <c r="C129" s="235" t="s">
        <v>149</v>
      </c>
      <c r="D129" s="236"/>
      <c r="E129" s="237"/>
      <c r="F129" s="20">
        <f>SUM(F124:F128)</f>
        <v>6957.7840136052428</v>
      </c>
      <c r="H129" s="235" t="s">
        <v>149</v>
      </c>
      <c r="I129" s="236"/>
      <c r="J129" s="237"/>
      <c r="K129" s="20">
        <f>SUM(K124:K128)</f>
        <v>6128.1814302719094</v>
      </c>
    </row>
    <row r="130" spans="3:11" x14ac:dyDescent="0.25">
      <c r="C130" s="6" t="s">
        <v>150</v>
      </c>
      <c r="D130" s="183" t="s">
        <v>151</v>
      </c>
      <c r="E130" s="184"/>
      <c r="F130" s="20">
        <f>F120</f>
        <v>1718.1910586083543</v>
      </c>
      <c r="H130" s="6" t="s">
        <v>150</v>
      </c>
      <c r="I130" s="183" t="s">
        <v>151</v>
      </c>
      <c r="J130" s="184"/>
      <c r="K130" s="20">
        <f>K120</f>
        <v>1513.3247192545491</v>
      </c>
    </row>
    <row r="131" spans="3:11" x14ac:dyDescent="0.25">
      <c r="C131" s="199" t="s">
        <v>152</v>
      </c>
      <c r="D131" s="201"/>
      <c r="E131" s="200"/>
      <c r="F131" s="42">
        <f>F129+F130</f>
        <v>8675.9750722135977</v>
      </c>
      <c r="H131" s="199" t="s">
        <v>152</v>
      </c>
      <c r="I131" s="201"/>
      <c r="J131" s="200"/>
      <c r="K131" s="42">
        <f>K129+K130</f>
        <v>7641.5061495264581</v>
      </c>
    </row>
    <row r="132" spans="3:11" x14ac:dyDescent="0.25">
      <c r="C132" s="199" t="s">
        <v>1084</v>
      </c>
      <c r="D132" s="201"/>
      <c r="E132" s="200"/>
      <c r="F132" s="42">
        <f>F131/220</f>
        <v>39.436250328243624</v>
      </c>
      <c r="H132" s="199" t="s">
        <v>1084</v>
      </c>
      <c r="I132" s="201"/>
      <c r="J132" s="200"/>
      <c r="K132" s="42">
        <f>K131/220</f>
        <v>34.7341188614839</v>
      </c>
    </row>
  </sheetData>
  <mergeCells count="164">
    <mergeCell ref="H131:J131"/>
    <mergeCell ref="C132:E132"/>
    <mergeCell ref="H132:J132"/>
    <mergeCell ref="I126:J126"/>
    <mergeCell ref="I127:J127"/>
    <mergeCell ref="I128:J128"/>
    <mergeCell ref="H129:J129"/>
    <mergeCell ref="I130:J130"/>
    <mergeCell ref="H121:K121"/>
    <mergeCell ref="H122:J122"/>
    <mergeCell ref="H123:K123"/>
    <mergeCell ref="I124:J124"/>
    <mergeCell ref="I125:J125"/>
    <mergeCell ref="C122:E122"/>
    <mergeCell ref="H112:K112"/>
    <mergeCell ref="I116:K116"/>
    <mergeCell ref="J117:J119"/>
    <mergeCell ref="K117:K119"/>
    <mergeCell ref="H120:J120"/>
    <mergeCell ref="H107:J107"/>
    <mergeCell ref="H108:K108"/>
    <mergeCell ref="H109:J109"/>
    <mergeCell ref="H110:K110"/>
    <mergeCell ref="H111:K111"/>
    <mergeCell ref="H101:K101"/>
    <mergeCell ref="I102:J102"/>
    <mergeCell ref="I103:J103"/>
    <mergeCell ref="I105:J105"/>
    <mergeCell ref="I106:J106"/>
    <mergeCell ref="I96:J96"/>
    <mergeCell ref="I97:J97"/>
    <mergeCell ref="H98:J98"/>
    <mergeCell ref="H99:K99"/>
    <mergeCell ref="H100:K100"/>
    <mergeCell ref="H89:J89"/>
    <mergeCell ref="H90:K90"/>
    <mergeCell ref="H93:I93"/>
    <mergeCell ref="H94:K94"/>
    <mergeCell ref="H95:J95"/>
    <mergeCell ref="H70:K70"/>
    <mergeCell ref="H78:J78"/>
    <mergeCell ref="H79:K79"/>
    <mergeCell ref="H80:K80"/>
    <mergeCell ref="H81:K81"/>
    <mergeCell ref="I65:J65"/>
    <mergeCell ref="I66:J66"/>
    <mergeCell ref="H67:J67"/>
    <mergeCell ref="H68:K68"/>
    <mergeCell ref="H69:K69"/>
    <mergeCell ref="H54:K54"/>
    <mergeCell ref="H61:J61"/>
    <mergeCell ref="H62:K62"/>
    <mergeCell ref="H63:J63"/>
    <mergeCell ref="I64:J64"/>
    <mergeCell ref="H37:K37"/>
    <mergeCell ref="H38:K38"/>
    <mergeCell ref="H42:J42"/>
    <mergeCell ref="H43:K43"/>
    <mergeCell ref="H53:I53"/>
    <mergeCell ref="H25:K25"/>
    <mergeCell ref="H26:K26"/>
    <mergeCell ref="I27:J27"/>
    <mergeCell ref="H35:J35"/>
    <mergeCell ref="H36:K36"/>
    <mergeCell ref="H20:K20"/>
    <mergeCell ref="I21:J21"/>
    <mergeCell ref="I22:J22"/>
    <mergeCell ref="I23:J23"/>
    <mergeCell ref="H24:K24"/>
    <mergeCell ref="H15:K15"/>
    <mergeCell ref="H16:K16"/>
    <mergeCell ref="J17:K17"/>
    <mergeCell ref="J18:K18"/>
    <mergeCell ref="J19:K19"/>
    <mergeCell ref="J10:K10"/>
    <mergeCell ref="J11:K11"/>
    <mergeCell ref="J12:K12"/>
    <mergeCell ref="J13:K13"/>
    <mergeCell ref="H14:K14"/>
    <mergeCell ref="H4:K4"/>
    <mergeCell ref="H5:K5"/>
    <mergeCell ref="H6:K6"/>
    <mergeCell ref="J7:K7"/>
    <mergeCell ref="J8:K8"/>
    <mergeCell ref="C16:F16"/>
    <mergeCell ref="C4:F4"/>
    <mergeCell ref="C5:F5"/>
    <mergeCell ref="C6:F6"/>
    <mergeCell ref="E7:F7"/>
    <mergeCell ref="E8:F8"/>
    <mergeCell ref="E10:F10"/>
    <mergeCell ref="E11:F11"/>
    <mergeCell ref="E12:F12"/>
    <mergeCell ref="E13:F13"/>
    <mergeCell ref="C14:F14"/>
    <mergeCell ref="C15:F15"/>
    <mergeCell ref="C35:E35"/>
    <mergeCell ref="E17:F17"/>
    <mergeCell ref="E18:F18"/>
    <mergeCell ref="E19:F19"/>
    <mergeCell ref="C20:F20"/>
    <mergeCell ref="D21:E21"/>
    <mergeCell ref="D22:E22"/>
    <mergeCell ref="D23:E23"/>
    <mergeCell ref="C24:F24"/>
    <mergeCell ref="C25:F25"/>
    <mergeCell ref="C26:F26"/>
    <mergeCell ref="D27:E27"/>
    <mergeCell ref="D65:E65"/>
    <mergeCell ref="C36:F36"/>
    <mergeCell ref="C37:F37"/>
    <mergeCell ref="C38:F38"/>
    <mergeCell ref="C42:E42"/>
    <mergeCell ref="C43:F43"/>
    <mergeCell ref="C53:D53"/>
    <mergeCell ref="C54:F54"/>
    <mergeCell ref="C61:E61"/>
    <mergeCell ref="C62:F62"/>
    <mergeCell ref="C63:E63"/>
    <mergeCell ref="D64:E64"/>
    <mergeCell ref="C93:D93"/>
    <mergeCell ref="D66:E66"/>
    <mergeCell ref="C67:E67"/>
    <mergeCell ref="C68:F68"/>
    <mergeCell ref="C69:F69"/>
    <mergeCell ref="C70:F70"/>
    <mergeCell ref="C78:E78"/>
    <mergeCell ref="C79:F79"/>
    <mergeCell ref="C80:F80"/>
    <mergeCell ref="C81:F81"/>
    <mergeCell ref="C89:E89"/>
    <mergeCell ref="C90:F90"/>
    <mergeCell ref="D106:E106"/>
    <mergeCell ref="C94:F94"/>
    <mergeCell ref="C95:E95"/>
    <mergeCell ref="D96:E96"/>
    <mergeCell ref="D97:E97"/>
    <mergeCell ref="C98:E98"/>
    <mergeCell ref="C99:F99"/>
    <mergeCell ref="C100:F100"/>
    <mergeCell ref="C101:F101"/>
    <mergeCell ref="D102:E102"/>
    <mergeCell ref="D103:E103"/>
    <mergeCell ref="D105:E105"/>
    <mergeCell ref="C107:E107"/>
    <mergeCell ref="C108:F108"/>
    <mergeCell ref="C109:E109"/>
    <mergeCell ref="C110:F110"/>
    <mergeCell ref="C111:F111"/>
    <mergeCell ref="C112:F112"/>
    <mergeCell ref="D116:F116"/>
    <mergeCell ref="E117:E119"/>
    <mergeCell ref="F117:F119"/>
    <mergeCell ref="C120:E120"/>
    <mergeCell ref="C121:F121"/>
    <mergeCell ref="C129:E129"/>
    <mergeCell ref="D130:E130"/>
    <mergeCell ref="C131:E131"/>
    <mergeCell ref="C123:F123"/>
    <mergeCell ref="D124:E124"/>
    <mergeCell ref="D125:E125"/>
    <mergeCell ref="D126:E126"/>
    <mergeCell ref="D127:E127"/>
    <mergeCell ref="D128:E12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E98A3-7572-42A6-AE21-26A00F7AB5F0}">
  <dimension ref="B4:L132"/>
  <sheetViews>
    <sheetView topLeftCell="B103" workbookViewId="0">
      <selection activeCell="B124" sqref="B124"/>
    </sheetView>
  </sheetViews>
  <sheetFormatPr defaultColWidth="9.140625" defaultRowHeight="15" x14ac:dyDescent="0.25"/>
  <cols>
    <col min="1" max="1" width="4.85546875" customWidth="1"/>
    <col min="2" max="2" width="37.5703125" customWidth="1"/>
    <col min="4" max="4" width="55.85546875" customWidth="1"/>
    <col min="5" max="5" width="12.140625" bestFit="1" customWidth="1"/>
    <col min="6" max="6" width="11.42578125" bestFit="1" customWidth="1"/>
    <col min="9" max="9" width="55.85546875" customWidth="1"/>
    <col min="10" max="10" width="12.140625" bestFit="1" customWidth="1"/>
    <col min="11" max="11" width="11.42578125" bestFit="1" customWidth="1"/>
  </cols>
  <sheetData>
    <row r="4" spans="3:11" x14ac:dyDescent="0.25">
      <c r="C4" s="169" t="s">
        <v>211</v>
      </c>
      <c r="D4" s="169"/>
      <c r="E4" s="169"/>
      <c r="F4" s="169"/>
      <c r="H4" s="169" t="s">
        <v>211</v>
      </c>
      <c r="I4" s="169"/>
      <c r="J4" s="169"/>
      <c r="K4" s="169"/>
    </row>
    <row r="5" spans="3:11" x14ac:dyDescent="0.25">
      <c r="C5" s="170" t="s">
        <v>35</v>
      </c>
      <c r="D5" s="170"/>
      <c r="E5" s="170"/>
      <c r="F5" s="170"/>
      <c r="H5" s="170" t="s">
        <v>35</v>
      </c>
      <c r="I5" s="170"/>
      <c r="J5" s="170"/>
      <c r="K5" s="170"/>
    </row>
    <row r="6" spans="3:11" x14ac:dyDescent="0.25">
      <c r="C6" s="171" t="s">
        <v>36</v>
      </c>
      <c r="D6" s="171"/>
      <c r="E6" s="171"/>
      <c r="F6" s="171"/>
      <c r="H6" s="171" t="s">
        <v>36</v>
      </c>
      <c r="I6" s="171"/>
      <c r="J6" s="171"/>
      <c r="K6" s="171"/>
    </row>
    <row r="7" spans="3:11" x14ac:dyDescent="0.25">
      <c r="C7" s="6" t="s">
        <v>37</v>
      </c>
      <c r="D7" s="7" t="s">
        <v>38</v>
      </c>
      <c r="E7" s="172"/>
      <c r="F7" s="173"/>
      <c r="H7" s="6" t="s">
        <v>37</v>
      </c>
      <c r="I7" s="7" t="s">
        <v>38</v>
      </c>
      <c r="J7" s="172"/>
      <c r="K7" s="173"/>
    </row>
    <row r="8" spans="3:11" x14ac:dyDescent="0.25">
      <c r="C8" s="6" t="s">
        <v>39</v>
      </c>
      <c r="D8" s="7" t="s">
        <v>40</v>
      </c>
      <c r="E8" s="176" t="s">
        <v>212</v>
      </c>
      <c r="F8" s="176"/>
      <c r="H8" s="6" t="s">
        <v>39</v>
      </c>
      <c r="I8" s="7" t="s">
        <v>40</v>
      </c>
      <c r="J8" s="176" t="s">
        <v>212</v>
      </c>
      <c r="K8" s="176"/>
    </row>
    <row r="9" spans="3:11" ht="25.5" x14ac:dyDescent="0.25">
      <c r="C9" s="8" t="s">
        <v>42</v>
      </c>
      <c r="D9" s="9" t="s">
        <v>43</v>
      </c>
      <c r="E9" s="45" t="s">
        <v>154</v>
      </c>
      <c r="F9" s="156">
        <v>2025</v>
      </c>
      <c r="H9" s="8" t="s">
        <v>42</v>
      </c>
      <c r="I9" s="9" t="s">
        <v>43</v>
      </c>
      <c r="J9" s="45" t="s">
        <v>154</v>
      </c>
      <c r="K9" s="46">
        <v>2025</v>
      </c>
    </row>
    <row r="10" spans="3:11" x14ac:dyDescent="0.25">
      <c r="C10" s="6" t="s">
        <v>44</v>
      </c>
      <c r="D10" s="7" t="s">
        <v>45</v>
      </c>
      <c r="E10" s="172" t="s">
        <v>46</v>
      </c>
      <c r="F10" s="173"/>
      <c r="H10" s="6" t="s">
        <v>44</v>
      </c>
      <c r="I10" s="7" t="s">
        <v>45</v>
      </c>
      <c r="J10" s="172" t="s">
        <v>46</v>
      </c>
      <c r="K10" s="173"/>
    </row>
    <row r="11" spans="3:11" x14ac:dyDescent="0.25">
      <c r="C11" s="6" t="s">
        <v>47</v>
      </c>
      <c r="D11" s="7" t="s">
        <v>48</v>
      </c>
      <c r="E11" s="172" t="s">
        <v>49</v>
      </c>
      <c r="F11" s="173"/>
      <c r="H11" s="6" t="s">
        <v>47</v>
      </c>
      <c r="I11" s="7" t="s">
        <v>48</v>
      </c>
      <c r="J11" s="172" t="s">
        <v>49</v>
      </c>
      <c r="K11" s="173"/>
    </row>
    <row r="12" spans="3:11" x14ac:dyDescent="0.25">
      <c r="C12" s="6" t="s">
        <v>50</v>
      </c>
      <c r="D12" s="7" t="s">
        <v>51</v>
      </c>
      <c r="E12" s="174">
        <v>220</v>
      </c>
      <c r="F12" s="175"/>
      <c r="H12" s="6" t="s">
        <v>50</v>
      </c>
      <c r="I12" s="7" t="s">
        <v>51</v>
      </c>
      <c r="J12" s="174">
        <v>220</v>
      </c>
      <c r="K12" s="175"/>
    </row>
    <row r="13" spans="3:11" x14ac:dyDescent="0.25">
      <c r="C13" s="6" t="s">
        <v>52</v>
      </c>
      <c r="D13" s="7" t="s">
        <v>53</v>
      </c>
      <c r="E13" s="172">
        <v>12</v>
      </c>
      <c r="F13" s="173"/>
      <c r="H13" s="6" t="s">
        <v>52</v>
      </c>
      <c r="I13" s="7" t="s">
        <v>53</v>
      </c>
      <c r="J13" s="172">
        <v>12</v>
      </c>
      <c r="K13" s="173"/>
    </row>
    <row r="14" spans="3:11" x14ac:dyDescent="0.25">
      <c r="C14" s="179" t="s">
        <v>195</v>
      </c>
      <c r="D14" s="179"/>
      <c r="E14" s="179"/>
      <c r="F14" s="179"/>
      <c r="H14" s="179" t="s">
        <v>195</v>
      </c>
      <c r="I14" s="179"/>
      <c r="J14" s="179"/>
      <c r="K14" s="179"/>
    </row>
    <row r="15" spans="3:11" x14ac:dyDescent="0.25">
      <c r="C15" s="180" t="s">
        <v>54</v>
      </c>
      <c r="D15" s="181"/>
      <c r="E15" s="181"/>
      <c r="F15" s="182"/>
      <c r="H15" s="180" t="s">
        <v>54</v>
      </c>
      <c r="I15" s="181"/>
      <c r="J15" s="181"/>
      <c r="K15" s="182"/>
    </row>
    <row r="16" spans="3:11" x14ac:dyDescent="0.25">
      <c r="C16" s="176" t="s">
        <v>55</v>
      </c>
      <c r="D16" s="176"/>
      <c r="E16" s="176"/>
      <c r="F16" s="176"/>
      <c r="H16" s="176" t="s">
        <v>55</v>
      </c>
      <c r="I16" s="176"/>
      <c r="J16" s="176"/>
      <c r="K16" s="176"/>
    </row>
    <row r="17" spans="3:11" x14ac:dyDescent="0.25">
      <c r="C17" s="6">
        <v>1</v>
      </c>
      <c r="D17" s="7" t="s">
        <v>56</v>
      </c>
      <c r="E17" s="172" t="s">
        <v>157</v>
      </c>
      <c r="F17" s="173" t="s">
        <v>57</v>
      </c>
      <c r="H17" s="6">
        <v>1</v>
      </c>
      <c r="I17" s="7" t="s">
        <v>56</v>
      </c>
      <c r="J17" s="172" t="s">
        <v>157</v>
      </c>
      <c r="K17" s="173" t="s">
        <v>57</v>
      </c>
    </row>
    <row r="18" spans="3:11" x14ac:dyDescent="0.25">
      <c r="C18" s="6"/>
      <c r="D18" s="10" t="s">
        <v>194</v>
      </c>
      <c r="E18" s="172">
        <v>220</v>
      </c>
      <c r="F18" s="173">
        <v>1</v>
      </c>
      <c r="H18" s="6"/>
      <c r="I18" s="10" t="s">
        <v>194</v>
      </c>
      <c r="J18" s="172">
        <v>220</v>
      </c>
      <c r="K18" s="173">
        <v>1</v>
      </c>
    </row>
    <row r="19" spans="3:11" ht="39" customHeight="1" x14ac:dyDescent="0.25">
      <c r="C19" s="6">
        <v>2</v>
      </c>
      <c r="D19" s="11" t="s">
        <v>58</v>
      </c>
      <c r="E19" s="177" t="s">
        <v>196</v>
      </c>
      <c r="F19" s="178"/>
      <c r="H19" s="6">
        <v>2</v>
      </c>
      <c r="I19" s="11" t="s">
        <v>58</v>
      </c>
      <c r="J19" s="177" t="s">
        <v>196</v>
      </c>
      <c r="K19" s="178"/>
    </row>
    <row r="20" spans="3:11" x14ac:dyDescent="0.25">
      <c r="C20" s="176" t="s">
        <v>59</v>
      </c>
      <c r="D20" s="176"/>
      <c r="E20" s="176"/>
      <c r="F20" s="176"/>
      <c r="H20" s="176" t="s">
        <v>59</v>
      </c>
      <c r="I20" s="176"/>
      <c r="J20" s="176"/>
      <c r="K20" s="176"/>
    </row>
    <row r="21" spans="3:11" x14ac:dyDescent="0.25">
      <c r="C21" s="6">
        <v>3</v>
      </c>
      <c r="D21" s="187" t="s">
        <v>1143</v>
      </c>
      <c r="E21" s="188"/>
      <c r="F21" s="31">
        <v>3790.67</v>
      </c>
      <c r="H21" s="6">
        <v>3</v>
      </c>
      <c r="I21" s="183" t="s">
        <v>1143</v>
      </c>
      <c r="J21" s="184"/>
      <c r="K21" s="31">
        <v>3790.67</v>
      </c>
    </row>
    <row r="22" spans="3:11" x14ac:dyDescent="0.25">
      <c r="C22" s="6">
        <v>4</v>
      </c>
      <c r="D22" s="183" t="s">
        <v>61</v>
      </c>
      <c r="E22" s="184"/>
      <c r="F22" s="32" t="s">
        <v>154</v>
      </c>
      <c r="H22" s="6">
        <v>4</v>
      </c>
      <c r="I22" s="183" t="s">
        <v>61</v>
      </c>
      <c r="J22" s="184"/>
      <c r="K22" s="32" t="s">
        <v>154</v>
      </c>
    </row>
    <row r="23" spans="3:11" x14ac:dyDescent="0.25">
      <c r="C23" s="6">
        <v>5</v>
      </c>
      <c r="D23" s="183" t="s">
        <v>62</v>
      </c>
      <c r="E23" s="184"/>
      <c r="F23" s="33">
        <v>45658</v>
      </c>
      <c r="H23" s="6">
        <v>5</v>
      </c>
      <c r="I23" s="183" t="s">
        <v>62</v>
      </c>
      <c r="J23" s="184"/>
      <c r="K23" s="33">
        <v>45658</v>
      </c>
    </row>
    <row r="24" spans="3:11" x14ac:dyDescent="0.25">
      <c r="C24" s="172"/>
      <c r="D24" s="185"/>
      <c r="E24" s="185"/>
      <c r="F24" s="173"/>
      <c r="H24" s="172"/>
      <c r="I24" s="185"/>
      <c r="J24" s="185"/>
      <c r="K24" s="173"/>
    </row>
    <row r="25" spans="3:11" x14ac:dyDescent="0.25">
      <c r="C25" s="186" t="s">
        <v>63</v>
      </c>
      <c r="D25" s="186"/>
      <c r="E25" s="186"/>
      <c r="F25" s="186"/>
      <c r="H25" s="186" t="s">
        <v>63</v>
      </c>
      <c r="I25" s="186"/>
      <c r="J25" s="186"/>
      <c r="K25" s="186"/>
    </row>
    <row r="26" spans="3:11" x14ac:dyDescent="0.25">
      <c r="C26" s="196"/>
      <c r="D26" s="197"/>
      <c r="E26" s="197"/>
      <c r="F26" s="198"/>
      <c r="H26" s="196"/>
      <c r="I26" s="197"/>
      <c r="J26" s="197"/>
      <c r="K26" s="198"/>
    </row>
    <row r="27" spans="3:11" x14ac:dyDescent="0.25">
      <c r="C27" s="12">
        <v>1</v>
      </c>
      <c r="D27" s="199" t="s">
        <v>64</v>
      </c>
      <c r="E27" s="200"/>
      <c r="F27" s="12" t="s">
        <v>65</v>
      </c>
      <c r="H27" s="12">
        <v>1</v>
      </c>
      <c r="I27" s="199" t="s">
        <v>64</v>
      </c>
      <c r="J27" s="200"/>
      <c r="K27" s="12" t="s">
        <v>65</v>
      </c>
    </row>
    <row r="28" spans="3:11" x14ac:dyDescent="0.25">
      <c r="C28" s="6" t="s">
        <v>66</v>
      </c>
      <c r="D28" s="7" t="s">
        <v>67</v>
      </c>
      <c r="E28" s="34">
        <v>1</v>
      </c>
      <c r="F28" s="47">
        <f>F21</f>
        <v>3790.67</v>
      </c>
      <c r="H28" s="6" t="s">
        <v>66</v>
      </c>
      <c r="I28" s="7" t="s">
        <v>67</v>
      </c>
      <c r="J28" s="34">
        <v>1</v>
      </c>
      <c r="K28" s="47">
        <f>K21</f>
        <v>3790.67</v>
      </c>
    </row>
    <row r="29" spans="3:11" x14ac:dyDescent="0.25">
      <c r="C29" s="6" t="s">
        <v>39</v>
      </c>
      <c r="D29" s="7" t="s">
        <v>68</v>
      </c>
      <c r="E29" s="14">
        <v>0.3</v>
      </c>
      <c r="F29" s="15">
        <f>F28*E29</f>
        <v>1137.201</v>
      </c>
      <c r="H29" s="6" t="s">
        <v>39</v>
      </c>
      <c r="I29" s="7" t="s">
        <v>68</v>
      </c>
      <c r="J29" s="14">
        <v>0.3</v>
      </c>
      <c r="K29" s="15">
        <f>K28*J29</f>
        <v>1137.201</v>
      </c>
    </row>
    <row r="30" spans="3:11" x14ac:dyDescent="0.25">
      <c r="C30" s="6" t="s">
        <v>42</v>
      </c>
      <c r="D30" s="7" t="s">
        <v>69</v>
      </c>
      <c r="E30" s="14">
        <v>0</v>
      </c>
      <c r="F30" s="16">
        <v>0</v>
      </c>
      <c r="H30" s="6" t="s">
        <v>42</v>
      </c>
      <c r="I30" s="7" t="s">
        <v>69</v>
      </c>
      <c r="J30" s="14">
        <v>0</v>
      </c>
      <c r="K30" s="16">
        <v>0</v>
      </c>
    </row>
    <row r="31" spans="3:11" x14ac:dyDescent="0.25">
      <c r="C31" s="6" t="s">
        <v>44</v>
      </c>
      <c r="D31" s="7" t="s">
        <v>70</v>
      </c>
      <c r="E31" s="14">
        <v>0</v>
      </c>
      <c r="F31" s="16">
        <v>0</v>
      </c>
      <c r="H31" s="6" t="s">
        <v>44</v>
      </c>
      <c r="I31" s="7" t="s">
        <v>70</v>
      </c>
      <c r="J31" s="14">
        <v>0</v>
      </c>
      <c r="K31" s="16">
        <v>0</v>
      </c>
    </row>
    <row r="32" spans="3:11" x14ac:dyDescent="0.25">
      <c r="C32" s="6" t="s">
        <v>47</v>
      </c>
      <c r="D32" s="7" t="s">
        <v>71</v>
      </c>
      <c r="E32" s="14">
        <v>0</v>
      </c>
      <c r="F32" s="16">
        <v>0</v>
      </c>
      <c r="H32" s="6" t="s">
        <v>47</v>
      </c>
      <c r="I32" s="7" t="s">
        <v>71</v>
      </c>
      <c r="J32" s="14">
        <v>0</v>
      </c>
      <c r="K32" s="16">
        <v>0</v>
      </c>
    </row>
    <row r="33" spans="3:11" x14ac:dyDescent="0.25">
      <c r="C33" s="6" t="s">
        <v>50</v>
      </c>
      <c r="D33" s="155" t="s">
        <v>1144</v>
      </c>
      <c r="E33" s="34">
        <v>1</v>
      </c>
      <c r="F33" s="53">
        <v>73.989999999999995</v>
      </c>
      <c r="H33" s="6" t="s">
        <v>50</v>
      </c>
      <c r="I33" s="7" t="s">
        <v>1144</v>
      </c>
      <c r="J33" s="34">
        <v>1</v>
      </c>
      <c r="K33" s="53">
        <v>73.989999999999995</v>
      </c>
    </row>
    <row r="34" spans="3:11" x14ac:dyDescent="0.25">
      <c r="C34" s="6" t="s">
        <v>52</v>
      </c>
      <c r="D34" s="7" t="s">
        <v>72</v>
      </c>
      <c r="E34" s="14">
        <v>0</v>
      </c>
      <c r="F34" s="16">
        <v>0</v>
      </c>
      <c r="H34" s="6" t="s">
        <v>52</v>
      </c>
      <c r="I34" s="7" t="s">
        <v>72</v>
      </c>
      <c r="J34" s="14">
        <v>0</v>
      </c>
      <c r="K34" s="16">
        <v>0</v>
      </c>
    </row>
    <row r="35" spans="3:11" x14ac:dyDescent="0.25">
      <c r="C35" s="199" t="s">
        <v>73</v>
      </c>
      <c r="D35" s="201"/>
      <c r="E35" s="200"/>
      <c r="F35" s="17">
        <f>SUM(F28:F34)</f>
        <v>5001.8609999999999</v>
      </c>
      <c r="H35" s="199" t="s">
        <v>73</v>
      </c>
      <c r="I35" s="201"/>
      <c r="J35" s="200"/>
      <c r="K35" s="17">
        <f>SUM(K28:K34)</f>
        <v>5001.8609999999999</v>
      </c>
    </row>
    <row r="36" spans="3:11" x14ac:dyDescent="0.25">
      <c r="C36" s="189"/>
      <c r="D36" s="189"/>
      <c r="E36" s="189"/>
      <c r="F36" s="189"/>
      <c r="H36" s="189"/>
      <c r="I36" s="189"/>
      <c r="J36" s="189"/>
      <c r="K36" s="189"/>
    </row>
    <row r="37" spans="3:11" x14ac:dyDescent="0.25">
      <c r="C37" s="190" t="s">
        <v>74</v>
      </c>
      <c r="D37" s="191"/>
      <c r="E37" s="191"/>
      <c r="F37" s="192"/>
      <c r="H37" s="190" t="s">
        <v>74</v>
      </c>
      <c r="I37" s="191"/>
      <c r="J37" s="191"/>
      <c r="K37" s="192"/>
    </row>
    <row r="38" spans="3:11" x14ac:dyDescent="0.25">
      <c r="C38" s="193"/>
      <c r="D38" s="194"/>
      <c r="E38" s="194"/>
      <c r="F38" s="195"/>
      <c r="H38" s="193"/>
      <c r="I38" s="194"/>
      <c r="J38" s="194"/>
      <c r="K38" s="195"/>
    </row>
    <row r="39" spans="3:11" x14ac:dyDescent="0.25">
      <c r="C39" s="18" t="s">
        <v>75</v>
      </c>
      <c r="D39" s="19" t="s">
        <v>76</v>
      </c>
      <c r="E39" s="18" t="s">
        <v>77</v>
      </c>
      <c r="F39" s="18" t="s">
        <v>65</v>
      </c>
      <c r="H39" s="18" t="s">
        <v>75</v>
      </c>
      <c r="I39" s="19" t="s">
        <v>76</v>
      </c>
      <c r="J39" s="18" t="s">
        <v>77</v>
      </c>
      <c r="K39" s="18" t="s">
        <v>65</v>
      </c>
    </row>
    <row r="40" spans="3:11" x14ac:dyDescent="0.25">
      <c r="C40" s="20" t="s">
        <v>66</v>
      </c>
      <c r="D40" s="21" t="s">
        <v>78</v>
      </c>
      <c r="E40" s="44">
        <f>1/12</f>
        <v>8.3333333333333329E-2</v>
      </c>
      <c r="F40" s="20">
        <f>F35*E40</f>
        <v>416.82174999999995</v>
      </c>
      <c r="H40" s="20" t="s">
        <v>66</v>
      </c>
      <c r="I40" s="21" t="s">
        <v>78</v>
      </c>
      <c r="J40" s="44">
        <f>1/12</f>
        <v>8.3333333333333329E-2</v>
      </c>
      <c r="K40" s="20">
        <f>K35*J40</f>
        <v>416.82174999999995</v>
      </c>
    </row>
    <row r="41" spans="3:11" x14ac:dyDescent="0.25">
      <c r="C41" s="20" t="s">
        <v>39</v>
      </c>
      <c r="D41" s="21" t="s">
        <v>79</v>
      </c>
      <c r="E41" s="28">
        <f>(1/12)+(1/(12*3))</f>
        <v>0.1111111111111111</v>
      </c>
      <c r="F41" s="20">
        <f>E41*F35</f>
        <v>555.76233333333334</v>
      </c>
      <c r="H41" s="20" t="s">
        <v>39</v>
      </c>
      <c r="I41" s="21" t="s">
        <v>79</v>
      </c>
      <c r="J41" s="28">
        <f>(1/12)+(1/(12*3))</f>
        <v>0.1111111111111111</v>
      </c>
      <c r="K41" s="20">
        <f>J41*K35</f>
        <v>555.76233333333334</v>
      </c>
    </row>
    <row r="42" spans="3:11" x14ac:dyDescent="0.25">
      <c r="C42" s="205" t="s">
        <v>80</v>
      </c>
      <c r="D42" s="206"/>
      <c r="E42" s="207"/>
      <c r="F42" s="22">
        <f>SUM(F40:F41)</f>
        <v>972.5840833333333</v>
      </c>
      <c r="H42" s="205" t="s">
        <v>80</v>
      </c>
      <c r="I42" s="206"/>
      <c r="J42" s="207"/>
      <c r="K42" s="22">
        <f>SUM(K40:K41)</f>
        <v>972.5840833333333</v>
      </c>
    </row>
    <row r="43" spans="3:11" x14ac:dyDescent="0.25">
      <c r="C43" s="193"/>
      <c r="D43" s="194"/>
      <c r="E43" s="194"/>
      <c r="F43" s="195"/>
      <c r="H43" s="193"/>
      <c r="I43" s="194"/>
      <c r="J43" s="194"/>
      <c r="K43" s="195"/>
    </row>
    <row r="44" spans="3:11" x14ac:dyDescent="0.25">
      <c r="C44" s="22" t="s">
        <v>81</v>
      </c>
      <c r="D44" s="23" t="s">
        <v>82</v>
      </c>
      <c r="E44" s="22" t="s">
        <v>77</v>
      </c>
      <c r="F44" s="22" t="s">
        <v>65</v>
      </c>
      <c r="H44" s="22" t="s">
        <v>81</v>
      </c>
      <c r="I44" s="23" t="s">
        <v>82</v>
      </c>
      <c r="J44" s="22" t="s">
        <v>77</v>
      </c>
      <c r="K44" s="22" t="s">
        <v>65</v>
      </c>
    </row>
    <row r="45" spans="3:11" x14ac:dyDescent="0.25">
      <c r="C45" s="24" t="s">
        <v>66</v>
      </c>
      <c r="D45" s="25" t="s">
        <v>83</v>
      </c>
      <c r="E45" s="35">
        <f>2/10</f>
        <v>0.2</v>
      </c>
      <c r="F45" s="20">
        <f>E45*($F$35+$F$42)</f>
        <v>1194.8890166666667</v>
      </c>
      <c r="H45" s="24" t="s">
        <v>66</v>
      </c>
      <c r="I45" s="25" t="s">
        <v>83</v>
      </c>
      <c r="J45" s="159">
        <v>0</v>
      </c>
      <c r="K45" s="158">
        <f>J45*($F$35+$F$42)</f>
        <v>0</v>
      </c>
    </row>
    <row r="46" spans="3:11" x14ac:dyDescent="0.25">
      <c r="C46" s="24" t="s">
        <v>39</v>
      </c>
      <c r="D46" s="25" t="s">
        <v>84</v>
      </c>
      <c r="E46" s="35">
        <f>2.5/100</f>
        <v>2.5000000000000001E-2</v>
      </c>
      <c r="F46" s="20">
        <f t="shared" ref="F46:F52" si="0">E46*($F$35+$F$42)</f>
        <v>149.36112708333334</v>
      </c>
      <c r="H46" s="24" t="s">
        <v>39</v>
      </c>
      <c r="I46" s="25" t="s">
        <v>84</v>
      </c>
      <c r="J46" s="35">
        <f>2.5/100</f>
        <v>2.5000000000000001E-2</v>
      </c>
      <c r="K46" s="20">
        <f t="shared" ref="K46:K52" si="1">J46*($F$35+$F$42)</f>
        <v>149.36112708333334</v>
      </c>
    </row>
    <row r="47" spans="3:11" x14ac:dyDescent="0.25">
      <c r="C47" s="24" t="s">
        <v>42</v>
      </c>
      <c r="D47" s="25" t="s">
        <v>85</v>
      </c>
      <c r="E47" s="35">
        <f>3/100</f>
        <v>0.03</v>
      </c>
      <c r="F47" s="20">
        <f t="shared" si="0"/>
        <v>179.2333525</v>
      </c>
      <c r="H47" s="24" t="s">
        <v>42</v>
      </c>
      <c r="I47" s="25" t="s">
        <v>85</v>
      </c>
      <c r="J47" s="35">
        <f>3/100</f>
        <v>0.03</v>
      </c>
      <c r="K47" s="20">
        <f t="shared" si="1"/>
        <v>179.2333525</v>
      </c>
    </row>
    <row r="48" spans="3:11" x14ac:dyDescent="0.25">
      <c r="C48" s="24" t="s">
        <v>44</v>
      </c>
      <c r="D48" s="25" t="s">
        <v>86</v>
      </c>
      <c r="E48" s="35">
        <f>1.5/100</f>
        <v>1.4999999999999999E-2</v>
      </c>
      <c r="F48" s="20">
        <f t="shared" si="0"/>
        <v>89.616676249999998</v>
      </c>
      <c r="H48" s="24" t="s">
        <v>44</v>
      </c>
      <c r="I48" s="25" t="s">
        <v>86</v>
      </c>
      <c r="J48" s="35">
        <f>1.5/100</f>
        <v>1.4999999999999999E-2</v>
      </c>
      <c r="K48" s="20">
        <f t="shared" si="1"/>
        <v>89.616676249999998</v>
      </c>
    </row>
    <row r="49" spans="3:12" x14ac:dyDescent="0.25">
      <c r="C49" s="24" t="s">
        <v>47</v>
      </c>
      <c r="D49" s="25" t="s">
        <v>87</v>
      </c>
      <c r="E49" s="35">
        <f>1/100</f>
        <v>0.01</v>
      </c>
      <c r="F49" s="20">
        <f t="shared" si="0"/>
        <v>59.744450833333332</v>
      </c>
      <c r="H49" s="24" t="s">
        <v>47</v>
      </c>
      <c r="I49" s="25" t="s">
        <v>87</v>
      </c>
      <c r="J49" s="35">
        <f>1/100</f>
        <v>0.01</v>
      </c>
      <c r="K49" s="20">
        <f t="shared" si="1"/>
        <v>59.744450833333332</v>
      </c>
    </row>
    <row r="50" spans="3:12" x14ac:dyDescent="0.25">
      <c r="C50" s="24" t="s">
        <v>50</v>
      </c>
      <c r="D50" s="25" t="s">
        <v>88</v>
      </c>
      <c r="E50" s="35">
        <f>0.6/100</f>
        <v>6.0000000000000001E-3</v>
      </c>
      <c r="F50" s="20">
        <f t="shared" si="0"/>
        <v>35.846670500000002</v>
      </c>
      <c r="H50" s="24" t="s">
        <v>50</v>
      </c>
      <c r="I50" s="25" t="s">
        <v>88</v>
      </c>
      <c r="J50" s="35">
        <f>0.6/100</f>
        <v>6.0000000000000001E-3</v>
      </c>
      <c r="K50" s="20">
        <f t="shared" si="1"/>
        <v>35.846670500000002</v>
      </c>
    </row>
    <row r="51" spans="3:12" x14ac:dyDescent="0.25">
      <c r="C51" s="24" t="s">
        <v>52</v>
      </c>
      <c r="D51" s="25" t="s">
        <v>89</v>
      </c>
      <c r="E51" s="35">
        <f>0.2/100</f>
        <v>2E-3</v>
      </c>
      <c r="F51" s="20">
        <f t="shared" si="0"/>
        <v>11.948890166666667</v>
      </c>
      <c r="H51" s="24" t="s">
        <v>52</v>
      </c>
      <c r="I51" s="25" t="s">
        <v>89</v>
      </c>
      <c r="J51" s="35">
        <f>0.2/100</f>
        <v>2E-3</v>
      </c>
      <c r="K51" s="20">
        <f t="shared" si="1"/>
        <v>11.948890166666667</v>
      </c>
    </row>
    <row r="52" spans="3:12" x14ac:dyDescent="0.25">
      <c r="C52" s="24" t="s">
        <v>90</v>
      </c>
      <c r="D52" s="25" t="s">
        <v>91</v>
      </c>
      <c r="E52" s="35">
        <f>8/100</f>
        <v>0.08</v>
      </c>
      <c r="F52" s="20">
        <f t="shared" si="0"/>
        <v>477.95560666666665</v>
      </c>
      <c r="H52" s="24" t="s">
        <v>90</v>
      </c>
      <c r="I52" s="25" t="s">
        <v>91</v>
      </c>
      <c r="J52" s="35">
        <f>8/100</f>
        <v>0.08</v>
      </c>
      <c r="K52" s="20">
        <f t="shared" si="1"/>
        <v>477.95560666666665</v>
      </c>
    </row>
    <row r="53" spans="3:12" x14ac:dyDescent="0.25">
      <c r="C53" s="202" t="s">
        <v>80</v>
      </c>
      <c r="D53" s="204"/>
      <c r="E53" s="36">
        <v>0.36800000000000005</v>
      </c>
      <c r="F53" s="22">
        <f>SUM(F45:F52)</f>
        <v>2198.5957906666663</v>
      </c>
      <c r="H53" s="202" t="s">
        <v>80</v>
      </c>
      <c r="I53" s="204"/>
      <c r="J53" s="36">
        <v>0.36800000000000005</v>
      </c>
      <c r="K53" s="22">
        <f>SUM(K45:K52)</f>
        <v>1003.7067739999999</v>
      </c>
    </row>
    <row r="54" spans="3:12" x14ac:dyDescent="0.25">
      <c r="C54" s="193"/>
      <c r="D54" s="194"/>
      <c r="E54" s="194"/>
      <c r="F54" s="195"/>
      <c r="H54" s="193"/>
      <c r="I54" s="194"/>
      <c r="J54" s="194"/>
      <c r="K54" s="195"/>
    </row>
    <row r="55" spans="3:12" x14ac:dyDescent="0.25">
      <c r="C55" s="22" t="s">
        <v>92</v>
      </c>
      <c r="D55" s="23" t="s">
        <v>93</v>
      </c>
      <c r="E55" s="22" t="s">
        <v>94</v>
      </c>
      <c r="F55" s="22" t="s">
        <v>65</v>
      </c>
      <c r="H55" s="22" t="s">
        <v>92</v>
      </c>
      <c r="I55" s="23" t="s">
        <v>93</v>
      </c>
      <c r="J55" s="22" t="s">
        <v>94</v>
      </c>
      <c r="K55" s="22" t="s">
        <v>65</v>
      </c>
    </row>
    <row r="56" spans="3:12" x14ac:dyDescent="0.25">
      <c r="C56" s="24" t="s">
        <v>66</v>
      </c>
      <c r="D56" s="25" t="s">
        <v>1153</v>
      </c>
      <c r="E56" s="37">
        <v>4.0999999999999996</v>
      </c>
      <c r="F56" s="158">
        <v>0</v>
      </c>
      <c r="H56" s="24" t="s">
        <v>66</v>
      </c>
      <c r="I56" s="25" t="s">
        <v>1153</v>
      </c>
      <c r="J56" s="37">
        <v>4.0999999999999996</v>
      </c>
      <c r="K56" s="38">
        <v>0</v>
      </c>
      <c r="L56" s="153" t="s">
        <v>1145</v>
      </c>
    </row>
    <row r="57" spans="3:12" x14ac:dyDescent="0.25">
      <c r="C57" s="24" t="s">
        <v>39</v>
      </c>
      <c r="D57" s="154" t="s">
        <v>1146</v>
      </c>
      <c r="E57" s="37">
        <v>23.76</v>
      </c>
      <c r="F57" s="38">
        <f>23.76*22*0.95</f>
        <v>496.584</v>
      </c>
      <c r="H57" s="24" t="s">
        <v>39</v>
      </c>
      <c r="I57" s="25" t="s">
        <v>1146</v>
      </c>
      <c r="J57" s="37">
        <v>23.76</v>
      </c>
      <c r="K57" s="38">
        <f>23.76*22*0.95</f>
        <v>496.584</v>
      </c>
    </row>
    <row r="58" spans="3:12" x14ac:dyDescent="0.25">
      <c r="C58" s="24" t="s">
        <v>42</v>
      </c>
      <c r="D58" s="154" t="s">
        <v>1147</v>
      </c>
      <c r="E58" s="37">
        <v>164.16</v>
      </c>
      <c r="F58" s="20">
        <f>E58*1</f>
        <v>164.16</v>
      </c>
      <c r="H58" s="24" t="s">
        <v>42</v>
      </c>
      <c r="I58" s="25" t="s">
        <v>1147</v>
      </c>
      <c r="J58" s="37">
        <v>164.16</v>
      </c>
      <c r="K58" s="20">
        <f>J58*1</f>
        <v>164.16</v>
      </c>
    </row>
    <row r="59" spans="3:12" x14ac:dyDescent="0.25">
      <c r="C59" s="24" t="s">
        <v>44</v>
      </c>
      <c r="D59" s="155" t="s">
        <v>1148</v>
      </c>
      <c r="E59" s="37">
        <v>59</v>
      </c>
      <c r="F59" s="20">
        <f>E59</f>
        <v>59</v>
      </c>
      <c r="H59" s="24" t="s">
        <v>44</v>
      </c>
      <c r="I59" s="7" t="s">
        <v>160</v>
      </c>
      <c r="J59" s="157">
        <v>59</v>
      </c>
      <c r="K59" s="20">
        <f>J59</f>
        <v>59</v>
      </c>
    </row>
    <row r="60" spans="3:12" x14ac:dyDescent="0.25">
      <c r="C60" s="24" t="s">
        <v>47</v>
      </c>
      <c r="D60" s="25" t="s">
        <v>97</v>
      </c>
      <c r="E60" s="37"/>
      <c r="F60" s="20">
        <v>0</v>
      </c>
      <c r="H60" s="24" t="s">
        <v>47</v>
      </c>
      <c r="I60" s="25" t="s">
        <v>97</v>
      </c>
      <c r="J60" s="37"/>
      <c r="K60" s="20">
        <v>0</v>
      </c>
    </row>
    <row r="61" spans="3:12" x14ac:dyDescent="0.25">
      <c r="C61" s="202" t="s">
        <v>98</v>
      </c>
      <c r="D61" s="203"/>
      <c r="E61" s="204"/>
      <c r="F61" s="22">
        <f>SUM(F56:F60)</f>
        <v>719.74400000000003</v>
      </c>
      <c r="H61" s="202" t="s">
        <v>98</v>
      </c>
      <c r="I61" s="203"/>
      <c r="J61" s="204"/>
      <c r="K61" s="22">
        <f>SUM(K56:K60)</f>
        <v>719.74400000000003</v>
      </c>
    </row>
    <row r="62" spans="3:12" x14ac:dyDescent="0.25">
      <c r="C62" s="193"/>
      <c r="D62" s="194"/>
      <c r="E62" s="194"/>
      <c r="F62" s="195"/>
      <c r="H62" s="193"/>
      <c r="I62" s="194"/>
      <c r="J62" s="194"/>
      <c r="K62" s="195"/>
    </row>
    <row r="63" spans="3:12" x14ac:dyDescent="0.25">
      <c r="C63" s="202" t="s">
        <v>99</v>
      </c>
      <c r="D63" s="203"/>
      <c r="E63" s="204"/>
      <c r="F63" s="22" t="s">
        <v>65</v>
      </c>
      <c r="H63" s="202" t="s">
        <v>99</v>
      </c>
      <c r="I63" s="203"/>
      <c r="J63" s="204"/>
      <c r="K63" s="22" t="s">
        <v>65</v>
      </c>
    </row>
    <row r="64" spans="3:12" x14ac:dyDescent="0.25">
      <c r="C64" s="24" t="s">
        <v>100</v>
      </c>
      <c r="D64" s="208" t="s">
        <v>76</v>
      </c>
      <c r="E64" s="209"/>
      <c r="F64" s="20">
        <f>F42</f>
        <v>972.5840833333333</v>
      </c>
      <c r="H64" s="24" t="s">
        <v>100</v>
      </c>
      <c r="I64" s="208" t="s">
        <v>76</v>
      </c>
      <c r="J64" s="209"/>
      <c r="K64" s="20">
        <f>K42</f>
        <v>972.5840833333333</v>
      </c>
    </row>
    <row r="65" spans="2:11" x14ac:dyDescent="0.25">
      <c r="C65" s="24" t="s">
        <v>81</v>
      </c>
      <c r="D65" s="208" t="s">
        <v>82</v>
      </c>
      <c r="E65" s="209"/>
      <c r="F65" s="20">
        <f>F53</f>
        <v>2198.5957906666663</v>
      </c>
      <c r="H65" s="24" t="s">
        <v>81</v>
      </c>
      <c r="I65" s="208" t="s">
        <v>82</v>
      </c>
      <c r="J65" s="209"/>
      <c r="K65" s="20">
        <f>K53</f>
        <v>1003.7067739999999</v>
      </c>
    </row>
    <row r="66" spans="2:11" x14ac:dyDescent="0.25">
      <c r="C66" s="24" t="s">
        <v>101</v>
      </c>
      <c r="D66" s="208" t="s">
        <v>93</v>
      </c>
      <c r="E66" s="209"/>
      <c r="F66" s="20">
        <f>F61</f>
        <v>719.74400000000003</v>
      </c>
      <c r="H66" s="24" t="s">
        <v>101</v>
      </c>
      <c r="I66" s="208" t="s">
        <v>93</v>
      </c>
      <c r="J66" s="209"/>
      <c r="K66" s="20">
        <f>K61</f>
        <v>719.74400000000003</v>
      </c>
    </row>
    <row r="67" spans="2:11" x14ac:dyDescent="0.25">
      <c r="C67" s="202" t="s">
        <v>80</v>
      </c>
      <c r="D67" s="203"/>
      <c r="E67" s="204"/>
      <c r="F67" s="22">
        <f>SUM(F64:F66)</f>
        <v>3890.9238739999996</v>
      </c>
      <c r="H67" s="202" t="s">
        <v>80</v>
      </c>
      <c r="I67" s="203"/>
      <c r="J67" s="204"/>
      <c r="K67" s="22">
        <f>SUM(K64:K66)</f>
        <v>2696.0348573333331</v>
      </c>
    </row>
    <row r="68" spans="2:11" x14ac:dyDescent="0.25">
      <c r="C68" s="193"/>
      <c r="D68" s="194"/>
      <c r="E68" s="194"/>
      <c r="F68" s="195"/>
      <c r="H68" s="193"/>
      <c r="I68" s="194"/>
      <c r="J68" s="194"/>
      <c r="K68" s="195"/>
    </row>
    <row r="69" spans="2:11" x14ac:dyDescent="0.25">
      <c r="C69" s="190" t="s">
        <v>102</v>
      </c>
      <c r="D69" s="191"/>
      <c r="E69" s="191"/>
      <c r="F69" s="192"/>
      <c r="H69" s="190" t="s">
        <v>102</v>
      </c>
      <c r="I69" s="191"/>
      <c r="J69" s="191"/>
      <c r="K69" s="192"/>
    </row>
    <row r="70" spans="2:11" x14ac:dyDescent="0.25">
      <c r="C70" s="193"/>
      <c r="D70" s="194"/>
      <c r="E70" s="194"/>
      <c r="F70" s="195"/>
      <c r="H70" s="193"/>
      <c r="I70" s="194"/>
      <c r="J70" s="194"/>
      <c r="K70" s="195"/>
    </row>
    <row r="71" spans="2:11" x14ac:dyDescent="0.25">
      <c r="C71" s="12">
        <v>3</v>
      </c>
      <c r="D71" s="23" t="s">
        <v>103</v>
      </c>
      <c r="E71" s="22" t="s">
        <v>77</v>
      </c>
      <c r="F71" s="22" t="s">
        <v>65</v>
      </c>
      <c r="H71" s="12">
        <v>3</v>
      </c>
      <c r="I71" s="23" t="s">
        <v>103</v>
      </c>
      <c r="J71" s="22" t="s">
        <v>77</v>
      </c>
      <c r="K71" s="22" t="s">
        <v>65</v>
      </c>
    </row>
    <row r="72" spans="2:11" x14ac:dyDescent="0.25">
      <c r="B72" s="129" t="s">
        <v>201</v>
      </c>
      <c r="C72" s="24" t="s">
        <v>66</v>
      </c>
      <c r="D72" s="25" t="s">
        <v>104</v>
      </c>
      <c r="E72" s="35">
        <f>0.42/100</f>
        <v>4.1999999999999997E-3</v>
      </c>
      <c r="F72" s="20">
        <f>E72*F35</f>
        <v>21.007816199999997</v>
      </c>
      <c r="H72" s="24" t="s">
        <v>66</v>
      </c>
      <c r="I72" s="25" t="s">
        <v>104</v>
      </c>
      <c r="J72" s="35">
        <f>0.42/100</f>
        <v>4.1999999999999997E-3</v>
      </c>
      <c r="K72" s="20">
        <f>J72*K35</f>
        <v>21.007816199999997</v>
      </c>
    </row>
    <row r="73" spans="2:11" x14ac:dyDescent="0.25">
      <c r="B73" s="129" t="s">
        <v>1085</v>
      </c>
      <c r="C73" s="24" t="s">
        <v>39</v>
      </c>
      <c r="D73" s="25" t="s">
        <v>105</v>
      </c>
      <c r="E73" s="35">
        <f>0.08*E72</f>
        <v>3.3599999999999998E-4</v>
      </c>
      <c r="F73" s="20">
        <f>E73*F35</f>
        <v>1.6806252959999999</v>
      </c>
      <c r="H73" s="24" t="s">
        <v>39</v>
      </c>
      <c r="I73" s="25" t="s">
        <v>105</v>
      </c>
      <c r="J73" s="35">
        <f>0.08*J72</f>
        <v>3.3599999999999998E-4</v>
      </c>
      <c r="K73" s="20">
        <f>J73*K35</f>
        <v>1.6806252959999999</v>
      </c>
    </row>
    <row r="74" spans="2:11" x14ac:dyDescent="0.25">
      <c r="B74" s="129" t="s">
        <v>202</v>
      </c>
      <c r="C74" s="24" t="s">
        <v>42</v>
      </c>
      <c r="D74" s="25" t="s">
        <v>106</v>
      </c>
      <c r="E74" s="35">
        <f>0.4*0.08*0.05</f>
        <v>1.6000000000000001E-3</v>
      </c>
      <c r="F74" s="20">
        <f>F35*E74</f>
        <v>8.0029775999999995</v>
      </c>
      <c r="H74" s="24" t="s">
        <v>42</v>
      </c>
      <c r="I74" s="25" t="s">
        <v>106</v>
      </c>
      <c r="J74" s="35">
        <f>0.4*0.08*0.05</f>
        <v>1.6000000000000001E-3</v>
      </c>
      <c r="K74" s="20">
        <f>K35*J74</f>
        <v>8.0029775999999995</v>
      </c>
    </row>
    <row r="75" spans="2:11" x14ac:dyDescent="0.25">
      <c r="B75" s="129" t="s">
        <v>203</v>
      </c>
      <c r="C75" s="24" t="s">
        <v>44</v>
      </c>
      <c r="D75" s="25" t="s">
        <v>198</v>
      </c>
      <c r="E75" s="35">
        <f>((7/30)/12)</f>
        <v>1.9444444444444445E-2</v>
      </c>
      <c r="F75" s="20">
        <f>E75*F35</f>
        <v>97.258408333333335</v>
      </c>
      <c r="H75" s="24" t="s">
        <v>44</v>
      </c>
      <c r="I75" s="25" t="s">
        <v>198</v>
      </c>
      <c r="J75" s="35">
        <f>((7/30)/12)</f>
        <v>1.9444444444444445E-2</v>
      </c>
      <c r="K75" s="20">
        <f>J75*K35</f>
        <v>97.258408333333335</v>
      </c>
    </row>
    <row r="76" spans="2:11" ht="25.5" x14ac:dyDescent="0.25">
      <c r="B76" s="129" t="s">
        <v>1087</v>
      </c>
      <c r="C76" s="24" t="s">
        <v>47</v>
      </c>
      <c r="D76" s="25" t="s">
        <v>108</v>
      </c>
      <c r="E76" s="35">
        <f>0.368*E75</f>
        <v>7.1555555555555556E-3</v>
      </c>
      <c r="F76" s="20">
        <f>F35*E76</f>
        <v>35.791094266666668</v>
      </c>
      <c r="H76" s="24" t="s">
        <v>47</v>
      </c>
      <c r="I76" s="25" t="s">
        <v>108</v>
      </c>
      <c r="J76" s="35">
        <f>0.368*J75</f>
        <v>7.1555555555555556E-3</v>
      </c>
      <c r="K76" s="20">
        <f>K35*J76</f>
        <v>35.791094266666668</v>
      </c>
    </row>
    <row r="77" spans="2:11" x14ac:dyDescent="0.25">
      <c r="B77" s="129" t="s">
        <v>204</v>
      </c>
      <c r="C77" s="24" t="s">
        <v>50</v>
      </c>
      <c r="D77" s="25" t="s">
        <v>109</v>
      </c>
      <c r="E77" s="35">
        <f>0.4*0.08*0.95</f>
        <v>3.04E-2</v>
      </c>
      <c r="F77" s="20">
        <f>F35*E77</f>
        <v>152.05657439999999</v>
      </c>
      <c r="H77" s="24" t="s">
        <v>50</v>
      </c>
      <c r="I77" s="25" t="s">
        <v>109</v>
      </c>
      <c r="J77" s="35">
        <f>0.4*0.08*0.95</f>
        <v>3.04E-2</v>
      </c>
      <c r="K77" s="20">
        <f>K35*J77</f>
        <v>152.05657439999999</v>
      </c>
    </row>
    <row r="78" spans="2:11" x14ac:dyDescent="0.25">
      <c r="C78" s="202" t="s">
        <v>110</v>
      </c>
      <c r="D78" s="203"/>
      <c r="E78" s="204"/>
      <c r="F78" s="22">
        <f>SUM(F72:F77)</f>
        <v>315.79749609600003</v>
      </c>
      <c r="H78" s="202" t="s">
        <v>110</v>
      </c>
      <c r="I78" s="203"/>
      <c r="J78" s="204"/>
      <c r="K78" s="22">
        <f>SUM(K72:K77)</f>
        <v>315.79749609600003</v>
      </c>
    </row>
    <row r="79" spans="2:11" x14ac:dyDescent="0.25">
      <c r="C79" s="193"/>
      <c r="D79" s="194"/>
      <c r="E79" s="194"/>
      <c r="F79" s="195"/>
      <c r="H79" s="193"/>
      <c r="I79" s="194"/>
      <c r="J79" s="194"/>
      <c r="K79" s="195"/>
    </row>
    <row r="80" spans="2:11" x14ac:dyDescent="0.25">
      <c r="C80" s="190" t="s">
        <v>111</v>
      </c>
      <c r="D80" s="191"/>
      <c r="E80" s="191"/>
      <c r="F80" s="192"/>
      <c r="H80" s="190" t="s">
        <v>111</v>
      </c>
      <c r="I80" s="191"/>
      <c r="J80" s="191"/>
      <c r="K80" s="192"/>
    </row>
    <row r="81" spans="3:11" x14ac:dyDescent="0.25">
      <c r="C81" s="210"/>
      <c r="D81" s="211"/>
      <c r="E81" s="211"/>
      <c r="F81" s="212"/>
      <c r="H81" s="210"/>
      <c r="I81" s="211"/>
      <c r="J81" s="211"/>
      <c r="K81" s="212"/>
    </row>
    <row r="82" spans="3:11" x14ac:dyDescent="0.25">
      <c r="C82" s="22" t="s">
        <v>112</v>
      </c>
      <c r="D82" s="23" t="s">
        <v>113</v>
      </c>
      <c r="E82" s="26" t="s">
        <v>77</v>
      </c>
      <c r="F82" s="22" t="s">
        <v>65</v>
      </c>
      <c r="H82" s="22" t="s">
        <v>112</v>
      </c>
      <c r="I82" s="23" t="s">
        <v>113</v>
      </c>
      <c r="J82" s="26" t="s">
        <v>77</v>
      </c>
      <c r="K82" s="22" t="s">
        <v>65</v>
      </c>
    </row>
    <row r="83" spans="3:11" x14ac:dyDescent="0.25">
      <c r="C83" s="24" t="s">
        <v>66</v>
      </c>
      <c r="D83" s="25" t="s">
        <v>114</v>
      </c>
      <c r="E83" s="35">
        <f>(((1+1/3)/12)/12)</f>
        <v>9.2592592592592587E-3</v>
      </c>
      <c r="F83" s="20">
        <f>($F$78+$F$67+$F$35)*E83</f>
        <v>85.264651574962954</v>
      </c>
      <c r="H83" s="24" t="s">
        <v>66</v>
      </c>
      <c r="I83" s="25" t="s">
        <v>114</v>
      </c>
      <c r="J83" s="35">
        <f>(((1+1/3)/12)/12)</f>
        <v>9.2592592592592587E-3</v>
      </c>
      <c r="K83" s="20">
        <f>($F$78+$F$67+$F$35)*J83</f>
        <v>85.264651574962954</v>
      </c>
    </row>
    <row r="84" spans="3:11" x14ac:dyDescent="0.25">
      <c r="C84" s="24" t="s">
        <v>39</v>
      </c>
      <c r="D84" s="25" t="s">
        <v>115</v>
      </c>
      <c r="E84" s="35">
        <f>((2/30)/12)</f>
        <v>5.5555555555555558E-3</v>
      </c>
      <c r="F84" s="20">
        <f t="shared" ref="F84:F88" si="2">($F$78+$F$67+$F$35)*E84</f>
        <v>51.158790944977774</v>
      </c>
      <c r="H84" s="24" t="s">
        <v>39</v>
      </c>
      <c r="I84" s="25" t="s">
        <v>115</v>
      </c>
      <c r="J84" s="35">
        <f>((2/30)/12)</f>
        <v>5.5555555555555558E-3</v>
      </c>
      <c r="K84" s="20">
        <f t="shared" ref="K84:K88" si="3">($F$78+$F$67+$F$35)*J84</f>
        <v>51.158790944977774</v>
      </c>
    </row>
    <row r="85" spans="3:11" x14ac:dyDescent="0.25">
      <c r="C85" s="24" t="s">
        <v>42</v>
      </c>
      <c r="D85" s="25" t="s">
        <v>116</v>
      </c>
      <c r="E85" s="52">
        <f>((5/30)/12)*0.015</f>
        <v>2.0833333333333332E-4</v>
      </c>
      <c r="F85" s="20">
        <f t="shared" si="2"/>
        <v>1.9184546604366663</v>
      </c>
      <c r="H85" s="24" t="s">
        <v>42</v>
      </c>
      <c r="I85" s="25" t="s">
        <v>116</v>
      </c>
      <c r="J85" s="52">
        <f>((5/30)/12)*0.015</f>
        <v>2.0833333333333332E-4</v>
      </c>
      <c r="K85" s="20">
        <f t="shared" si="3"/>
        <v>1.9184546604366663</v>
      </c>
    </row>
    <row r="86" spans="3:11" x14ac:dyDescent="0.25">
      <c r="C86" s="24" t="s">
        <v>44</v>
      </c>
      <c r="D86" s="25" t="s">
        <v>117</v>
      </c>
      <c r="E86" s="35">
        <f>(((15/30)/12)*0.08)</f>
        <v>3.3333333333333331E-3</v>
      </c>
      <c r="F86" s="20">
        <f t="shared" si="2"/>
        <v>30.695274566986662</v>
      </c>
      <c r="H86" s="24" t="s">
        <v>44</v>
      </c>
      <c r="I86" s="25" t="s">
        <v>117</v>
      </c>
      <c r="J86" s="35">
        <f>(((15/30)/12)*0.08)</f>
        <v>3.3333333333333331E-3</v>
      </c>
      <c r="K86" s="20">
        <f t="shared" si="3"/>
        <v>30.695274566986662</v>
      </c>
    </row>
    <row r="87" spans="3:11" x14ac:dyDescent="0.25">
      <c r="C87" s="24" t="s">
        <v>47</v>
      </c>
      <c r="D87" s="25" t="s">
        <v>118</v>
      </c>
      <c r="E87" s="52">
        <f>0.0144*0.1*0.4509*6/12</f>
        <v>3.2464800000000003E-4</v>
      </c>
      <c r="F87" s="20">
        <f t="shared" si="2"/>
        <v>2.9895478492869261</v>
      </c>
      <c r="H87" s="24" t="s">
        <v>47</v>
      </c>
      <c r="I87" s="25" t="s">
        <v>118</v>
      </c>
      <c r="J87" s="52">
        <f>0.0144*0.1*0.4509*6/12</f>
        <v>3.2464800000000003E-4</v>
      </c>
      <c r="K87" s="20">
        <f t="shared" si="3"/>
        <v>2.9895478492869261</v>
      </c>
    </row>
    <row r="88" spans="3:11" x14ac:dyDescent="0.25">
      <c r="C88" s="24" t="s">
        <v>50</v>
      </c>
      <c r="D88" s="25" t="s">
        <v>119</v>
      </c>
      <c r="E88" s="35">
        <v>0</v>
      </c>
      <c r="F88" s="20">
        <f t="shared" si="2"/>
        <v>0</v>
      </c>
      <c r="H88" s="24" t="s">
        <v>50</v>
      </c>
      <c r="I88" s="25" t="s">
        <v>119</v>
      </c>
      <c r="J88" s="35">
        <v>0</v>
      </c>
      <c r="K88" s="20">
        <f t="shared" si="3"/>
        <v>0</v>
      </c>
    </row>
    <row r="89" spans="3:11" x14ac:dyDescent="0.25">
      <c r="C89" s="202" t="s">
        <v>80</v>
      </c>
      <c r="D89" s="203"/>
      <c r="E89" s="204"/>
      <c r="F89" s="22">
        <f>SUM(F83:F88)</f>
        <v>172.02671959665099</v>
      </c>
      <c r="H89" s="202" t="s">
        <v>80</v>
      </c>
      <c r="I89" s="203"/>
      <c r="J89" s="204"/>
      <c r="K89" s="22">
        <f>SUM(K83:K88)</f>
        <v>172.02671959665099</v>
      </c>
    </row>
    <row r="90" spans="3:11" x14ac:dyDescent="0.25">
      <c r="C90" s="193"/>
      <c r="D90" s="194"/>
      <c r="E90" s="194"/>
      <c r="F90" s="195"/>
      <c r="H90" s="193"/>
      <c r="I90" s="194"/>
      <c r="J90" s="194"/>
      <c r="K90" s="195"/>
    </row>
    <row r="91" spans="3:11" x14ac:dyDescent="0.25">
      <c r="C91" s="27" t="s">
        <v>120</v>
      </c>
      <c r="D91" s="27" t="s">
        <v>121</v>
      </c>
      <c r="E91" s="26" t="s">
        <v>77</v>
      </c>
      <c r="F91" s="22" t="s">
        <v>65</v>
      </c>
      <c r="H91" s="27" t="s">
        <v>120</v>
      </c>
      <c r="I91" s="27" t="s">
        <v>121</v>
      </c>
      <c r="J91" s="26" t="s">
        <v>77</v>
      </c>
      <c r="K91" s="22" t="s">
        <v>65</v>
      </c>
    </row>
    <row r="92" spans="3:11" x14ac:dyDescent="0.25">
      <c r="C92" s="20" t="s">
        <v>66</v>
      </c>
      <c r="D92" s="21" t="s">
        <v>122</v>
      </c>
      <c r="E92" s="28">
        <v>0</v>
      </c>
      <c r="F92" s="20">
        <v>0</v>
      </c>
      <c r="H92" s="20" t="s">
        <v>66</v>
      </c>
      <c r="I92" s="21" t="s">
        <v>122</v>
      </c>
      <c r="J92" s="28">
        <v>0</v>
      </c>
      <c r="K92" s="20">
        <v>0</v>
      </c>
    </row>
    <row r="93" spans="3:11" x14ac:dyDescent="0.25">
      <c r="C93" s="202" t="s">
        <v>80</v>
      </c>
      <c r="D93" s="204"/>
      <c r="E93" s="39">
        <v>0</v>
      </c>
      <c r="F93" s="22">
        <v>0</v>
      </c>
      <c r="H93" s="202" t="s">
        <v>80</v>
      </c>
      <c r="I93" s="204"/>
      <c r="J93" s="39">
        <v>0</v>
      </c>
      <c r="K93" s="22">
        <v>0</v>
      </c>
    </row>
    <row r="94" spans="3:11" x14ac:dyDescent="0.25">
      <c r="C94" s="193"/>
      <c r="D94" s="194"/>
      <c r="E94" s="194"/>
      <c r="F94" s="195"/>
      <c r="H94" s="193"/>
      <c r="I94" s="194"/>
      <c r="J94" s="194"/>
      <c r="K94" s="195"/>
    </row>
    <row r="95" spans="3:11" x14ac:dyDescent="0.25">
      <c r="C95" s="202" t="s">
        <v>123</v>
      </c>
      <c r="D95" s="203"/>
      <c r="E95" s="204"/>
      <c r="F95" s="22" t="s">
        <v>65</v>
      </c>
      <c r="H95" s="202" t="s">
        <v>123</v>
      </c>
      <c r="I95" s="203"/>
      <c r="J95" s="204"/>
      <c r="K95" s="22" t="s">
        <v>65</v>
      </c>
    </row>
    <row r="96" spans="3:11" x14ac:dyDescent="0.25">
      <c r="C96" s="20" t="s">
        <v>112</v>
      </c>
      <c r="D96" s="213" t="s">
        <v>113</v>
      </c>
      <c r="E96" s="214"/>
      <c r="F96" s="20">
        <f>F89</f>
        <v>172.02671959665099</v>
      </c>
      <c r="H96" s="20" t="s">
        <v>112</v>
      </c>
      <c r="I96" s="213" t="s">
        <v>113</v>
      </c>
      <c r="J96" s="214"/>
      <c r="K96" s="20">
        <f>K89</f>
        <v>172.02671959665099</v>
      </c>
    </row>
    <row r="97" spans="3:11" x14ac:dyDescent="0.25">
      <c r="C97" s="20" t="s">
        <v>120</v>
      </c>
      <c r="D97" s="213" t="s">
        <v>121</v>
      </c>
      <c r="E97" s="214"/>
      <c r="F97" s="20">
        <v>0</v>
      </c>
      <c r="H97" s="20" t="s">
        <v>120</v>
      </c>
      <c r="I97" s="213" t="s">
        <v>121</v>
      </c>
      <c r="J97" s="214"/>
      <c r="K97" s="20">
        <v>0</v>
      </c>
    </row>
    <row r="98" spans="3:11" x14ac:dyDescent="0.25">
      <c r="C98" s="202" t="s">
        <v>124</v>
      </c>
      <c r="D98" s="203"/>
      <c r="E98" s="204"/>
      <c r="F98" s="22">
        <f>SUM(F96:F97)</f>
        <v>172.02671959665099</v>
      </c>
      <c r="H98" s="202" t="s">
        <v>124</v>
      </c>
      <c r="I98" s="203"/>
      <c r="J98" s="204"/>
      <c r="K98" s="22">
        <f>SUM(K96:K97)</f>
        <v>172.02671959665099</v>
      </c>
    </row>
    <row r="99" spans="3:11" x14ac:dyDescent="0.25">
      <c r="C99" s="193"/>
      <c r="D99" s="194"/>
      <c r="E99" s="194"/>
      <c r="F99" s="195"/>
      <c r="H99" s="193"/>
      <c r="I99" s="194"/>
      <c r="J99" s="194"/>
      <c r="K99" s="195"/>
    </row>
    <row r="100" spans="3:11" x14ac:dyDescent="0.25">
      <c r="C100" s="190" t="s">
        <v>125</v>
      </c>
      <c r="D100" s="191"/>
      <c r="E100" s="191"/>
      <c r="F100" s="192"/>
      <c r="H100" s="190" t="s">
        <v>125</v>
      </c>
      <c r="I100" s="191"/>
      <c r="J100" s="191"/>
      <c r="K100" s="192"/>
    </row>
    <row r="101" spans="3:11" x14ac:dyDescent="0.25">
      <c r="C101" s="210"/>
      <c r="D101" s="211"/>
      <c r="E101" s="211"/>
      <c r="F101" s="212"/>
      <c r="H101" s="210"/>
      <c r="I101" s="211"/>
      <c r="J101" s="211"/>
      <c r="K101" s="212"/>
    </row>
    <row r="102" spans="3:11" x14ac:dyDescent="0.25">
      <c r="C102" s="12">
        <v>5</v>
      </c>
      <c r="D102" s="202" t="s">
        <v>126</v>
      </c>
      <c r="E102" s="204"/>
      <c r="F102" s="22" t="s">
        <v>65</v>
      </c>
      <c r="H102" s="12">
        <v>5</v>
      </c>
      <c r="I102" s="202" t="s">
        <v>126</v>
      </c>
      <c r="J102" s="204"/>
      <c r="K102" s="22" t="s">
        <v>65</v>
      </c>
    </row>
    <row r="103" spans="3:11" x14ac:dyDescent="0.25">
      <c r="C103" s="24" t="s">
        <v>66</v>
      </c>
      <c r="D103" s="216" t="s">
        <v>127</v>
      </c>
      <c r="E103" s="217"/>
      <c r="F103" s="20">
        <f>UNIFORMES!E9</f>
        <v>75.355555555555569</v>
      </c>
      <c r="H103" s="24" t="s">
        <v>66</v>
      </c>
      <c r="I103" s="216" t="s">
        <v>127</v>
      </c>
      <c r="J103" s="217"/>
      <c r="K103" s="118">
        <f>UNIFORMES!E9</f>
        <v>75.355555555555569</v>
      </c>
    </row>
    <row r="104" spans="3:11" x14ac:dyDescent="0.25">
      <c r="C104" s="24" t="s">
        <v>39</v>
      </c>
      <c r="D104" s="29" t="s">
        <v>128</v>
      </c>
      <c r="E104" s="30"/>
      <c r="F104" s="20">
        <v>0</v>
      </c>
      <c r="H104" s="24" t="s">
        <v>39</v>
      </c>
      <c r="I104" s="29" t="s">
        <v>128</v>
      </c>
      <c r="J104" s="30"/>
      <c r="K104" s="20">
        <v>0</v>
      </c>
    </row>
    <row r="105" spans="3:11" x14ac:dyDescent="0.25">
      <c r="C105" s="24" t="s">
        <v>42</v>
      </c>
      <c r="D105" s="216" t="s">
        <v>129</v>
      </c>
      <c r="E105" s="217"/>
      <c r="F105" s="118">
        <f>'Ferramentas de Uso Geral'!E60</f>
        <v>39.018233333333328</v>
      </c>
      <c r="H105" s="24" t="s">
        <v>42</v>
      </c>
      <c r="I105" s="216" t="s">
        <v>129</v>
      </c>
      <c r="J105" s="217"/>
      <c r="K105" s="118">
        <f>'Ferramentas de Uso Geral'!E60</f>
        <v>39.018233333333328</v>
      </c>
    </row>
    <row r="106" spans="3:11" x14ac:dyDescent="0.25">
      <c r="C106" s="24" t="s">
        <v>44</v>
      </c>
      <c r="D106" s="216" t="s">
        <v>130</v>
      </c>
      <c r="E106" s="217"/>
      <c r="F106" s="20">
        <v>0</v>
      </c>
      <c r="H106" s="24" t="s">
        <v>44</v>
      </c>
      <c r="I106" s="216" t="s">
        <v>130</v>
      </c>
      <c r="J106" s="217"/>
      <c r="K106" s="20">
        <v>0</v>
      </c>
    </row>
    <row r="107" spans="3:11" x14ac:dyDescent="0.25">
      <c r="C107" s="202" t="s">
        <v>131</v>
      </c>
      <c r="D107" s="203"/>
      <c r="E107" s="204"/>
      <c r="F107" s="22">
        <f>SUM(F103:F106)</f>
        <v>114.3737888888889</v>
      </c>
      <c r="H107" s="202" t="s">
        <v>131</v>
      </c>
      <c r="I107" s="203"/>
      <c r="J107" s="204"/>
      <c r="K107" s="22">
        <f>SUM(K103:K106)</f>
        <v>114.3737888888889</v>
      </c>
    </row>
    <row r="108" spans="3:11" x14ac:dyDescent="0.25">
      <c r="C108" s="193"/>
      <c r="D108" s="194"/>
      <c r="E108" s="194"/>
      <c r="F108" s="195"/>
      <c r="H108" s="193"/>
      <c r="I108" s="194"/>
      <c r="J108" s="194"/>
      <c r="K108" s="195"/>
    </row>
    <row r="109" spans="3:11" x14ac:dyDescent="0.25">
      <c r="C109" s="215" t="s">
        <v>132</v>
      </c>
      <c r="D109" s="215"/>
      <c r="E109" s="215"/>
      <c r="F109" s="41">
        <f>F107+F98+F78+F35+F67</f>
        <v>9494.9828785815389</v>
      </c>
      <c r="H109" s="215" t="s">
        <v>132</v>
      </c>
      <c r="I109" s="215"/>
      <c r="J109" s="215"/>
      <c r="K109" s="41">
        <f>K107+K98+K78+K35+K67</f>
        <v>8300.0938619148728</v>
      </c>
    </row>
    <row r="110" spans="3:11" x14ac:dyDescent="0.25">
      <c r="C110" s="189"/>
      <c r="D110" s="189"/>
      <c r="E110" s="189"/>
      <c r="F110" s="189"/>
      <c r="H110" s="189"/>
      <c r="I110" s="189"/>
      <c r="J110" s="189"/>
      <c r="K110" s="189"/>
    </row>
    <row r="111" spans="3:11" x14ac:dyDescent="0.25">
      <c r="C111" s="228" t="s">
        <v>133</v>
      </c>
      <c r="D111" s="228"/>
      <c r="E111" s="228"/>
      <c r="F111" s="228"/>
      <c r="H111" s="228" t="s">
        <v>133</v>
      </c>
      <c r="I111" s="228"/>
      <c r="J111" s="228"/>
      <c r="K111" s="228"/>
    </row>
    <row r="112" spans="3:11" x14ac:dyDescent="0.25">
      <c r="C112" s="193"/>
      <c r="D112" s="194"/>
      <c r="E112" s="194"/>
      <c r="F112" s="195"/>
      <c r="H112" s="193"/>
      <c r="I112" s="194"/>
      <c r="J112" s="194"/>
      <c r="K112" s="195"/>
    </row>
    <row r="113" spans="3:12" x14ac:dyDescent="0.25">
      <c r="C113" s="12">
        <v>6</v>
      </c>
      <c r="D113" s="40" t="s">
        <v>134</v>
      </c>
      <c r="E113" s="22" t="s">
        <v>77</v>
      </c>
      <c r="F113" s="22" t="s">
        <v>65</v>
      </c>
      <c r="H113" s="12">
        <v>6</v>
      </c>
      <c r="I113" s="40" t="s">
        <v>134</v>
      </c>
      <c r="J113" s="22" t="s">
        <v>77</v>
      </c>
      <c r="K113" s="22" t="s">
        <v>65</v>
      </c>
    </row>
    <row r="114" spans="3:12" x14ac:dyDescent="0.25">
      <c r="C114" s="24" t="s">
        <v>66</v>
      </c>
      <c r="D114" s="25" t="s">
        <v>135</v>
      </c>
      <c r="E114" s="35">
        <f>6.06/100</f>
        <v>6.0599999999999994E-2</v>
      </c>
      <c r="F114" s="20">
        <f>E114*F109</f>
        <v>575.3959624420412</v>
      </c>
      <c r="H114" s="24" t="s">
        <v>66</v>
      </c>
      <c r="I114" s="25" t="s">
        <v>135</v>
      </c>
      <c r="J114" s="35">
        <f>6.06/100</f>
        <v>6.0599999999999994E-2</v>
      </c>
      <c r="K114" s="20">
        <f>J114*K109</f>
        <v>502.98568803204125</v>
      </c>
    </row>
    <row r="115" spans="3:12" x14ac:dyDescent="0.25">
      <c r="C115" s="24" t="s">
        <v>39</v>
      </c>
      <c r="D115" s="25" t="s">
        <v>136</v>
      </c>
      <c r="E115" s="35">
        <f>7.4/100</f>
        <v>7.400000000000001E-2</v>
      </c>
      <c r="F115" s="20">
        <f>E115*(F109+F114)</f>
        <v>745.208034235745</v>
      </c>
      <c r="H115" s="24" t="s">
        <v>39</v>
      </c>
      <c r="I115" s="25" t="s">
        <v>136</v>
      </c>
      <c r="J115" s="35">
        <f>7.4/100</f>
        <v>7.400000000000001E-2</v>
      </c>
      <c r="K115" s="20">
        <f>J115*(K109+K114)</f>
        <v>651.42788669607171</v>
      </c>
    </row>
    <row r="116" spans="3:12" x14ac:dyDescent="0.25">
      <c r="C116" s="24" t="s">
        <v>42</v>
      </c>
      <c r="D116" s="208" t="s">
        <v>137</v>
      </c>
      <c r="E116" s="218"/>
      <c r="F116" s="209"/>
      <c r="H116" s="24" t="s">
        <v>42</v>
      </c>
      <c r="I116" s="208" t="s">
        <v>137</v>
      </c>
      <c r="J116" s="218"/>
      <c r="K116" s="209"/>
    </row>
    <row r="117" spans="3:12" x14ac:dyDescent="0.25">
      <c r="C117" s="24" t="s">
        <v>138</v>
      </c>
      <c r="D117" s="7" t="s">
        <v>205</v>
      </c>
      <c r="E117" s="219">
        <v>8.6499999999999994E-2</v>
      </c>
      <c r="F117" s="222">
        <f>((F114+F109+F115)/(1-E117))-(F109+F115+F114)</f>
        <v>1024.1360314284975</v>
      </c>
      <c r="H117" s="24" t="s">
        <v>138</v>
      </c>
      <c r="I117" s="7" t="s">
        <v>205</v>
      </c>
      <c r="J117" s="225">
        <v>8.6499999999999994E-2</v>
      </c>
      <c r="K117" s="222">
        <f>((K114+K109+K115)/(1-J117))-(K109+K115+K114)</f>
        <v>895.25439876257951</v>
      </c>
    </row>
    <row r="118" spans="3:12" x14ac:dyDescent="0.25">
      <c r="C118" s="24" t="s">
        <v>139</v>
      </c>
      <c r="D118" s="7" t="s">
        <v>206</v>
      </c>
      <c r="E118" s="220"/>
      <c r="F118" s="223"/>
      <c r="H118" s="24" t="s">
        <v>139</v>
      </c>
      <c r="I118" s="7" t="s">
        <v>206</v>
      </c>
      <c r="J118" s="226"/>
      <c r="K118" s="223"/>
      <c r="L118" s="160"/>
    </row>
    <row r="119" spans="3:12" x14ac:dyDescent="0.25">
      <c r="C119" s="24" t="s">
        <v>140</v>
      </c>
      <c r="D119" s="155" t="s">
        <v>207</v>
      </c>
      <c r="E119" s="221"/>
      <c r="F119" s="224"/>
      <c r="H119" s="24" t="s">
        <v>140</v>
      </c>
      <c r="I119" s="7" t="s">
        <v>207</v>
      </c>
      <c r="J119" s="227"/>
      <c r="K119" s="224"/>
    </row>
    <row r="120" spans="3:12" x14ac:dyDescent="0.25">
      <c r="C120" s="229" t="s">
        <v>141</v>
      </c>
      <c r="D120" s="230"/>
      <c r="E120" s="231"/>
      <c r="F120" s="22">
        <f>SUM(F114,F115,F117,F118,F119)</f>
        <v>2344.7400281062837</v>
      </c>
      <c r="H120" s="229" t="s">
        <v>141</v>
      </c>
      <c r="I120" s="230"/>
      <c r="J120" s="231"/>
      <c r="K120" s="22">
        <f>SUM(K114,K115,K117,K118,K119)</f>
        <v>2049.6679734906925</v>
      </c>
    </row>
    <row r="121" spans="3:12" x14ac:dyDescent="0.25">
      <c r="C121" s="193"/>
      <c r="D121" s="194"/>
      <c r="E121" s="194"/>
      <c r="F121" s="195"/>
      <c r="H121" s="193"/>
      <c r="I121" s="194"/>
      <c r="J121" s="194"/>
      <c r="K121" s="195"/>
    </row>
    <row r="122" spans="3:12" x14ac:dyDescent="0.25">
      <c r="C122" s="232" t="s">
        <v>142</v>
      </c>
      <c r="D122" s="233"/>
      <c r="E122" s="234"/>
      <c r="F122" s="43" t="s">
        <v>65</v>
      </c>
      <c r="H122" s="232" t="s">
        <v>142</v>
      </c>
      <c r="I122" s="233"/>
      <c r="J122" s="234"/>
      <c r="K122" s="43" t="s">
        <v>65</v>
      </c>
    </row>
    <row r="123" spans="3:12" x14ac:dyDescent="0.25">
      <c r="C123" s="180" t="s">
        <v>143</v>
      </c>
      <c r="D123" s="181"/>
      <c r="E123" s="181"/>
      <c r="F123" s="182"/>
      <c r="H123" s="180" t="s">
        <v>143</v>
      </c>
      <c r="I123" s="181"/>
      <c r="J123" s="181"/>
      <c r="K123" s="182"/>
    </row>
    <row r="124" spans="3:12" x14ac:dyDescent="0.25">
      <c r="C124" s="6" t="s">
        <v>66</v>
      </c>
      <c r="D124" s="183" t="s">
        <v>144</v>
      </c>
      <c r="E124" s="184"/>
      <c r="F124" s="20">
        <f>F35</f>
        <v>5001.8609999999999</v>
      </c>
      <c r="H124" s="6" t="s">
        <v>66</v>
      </c>
      <c r="I124" s="183" t="s">
        <v>144</v>
      </c>
      <c r="J124" s="184"/>
      <c r="K124" s="20">
        <f>K35</f>
        <v>5001.8609999999999</v>
      </c>
    </row>
    <row r="125" spans="3:12" x14ac:dyDescent="0.25">
      <c r="C125" s="6" t="s">
        <v>39</v>
      </c>
      <c r="D125" s="183" t="s">
        <v>145</v>
      </c>
      <c r="E125" s="184"/>
      <c r="F125" s="20">
        <f>F67</f>
        <v>3890.9238739999996</v>
      </c>
      <c r="H125" s="6" t="s">
        <v>39</v>
      </c>
      <c r="I125" s="183" t="s">
        <v>145</v>
      </c>
      <c r="J125" s="184"/>
      <c r="K125" s="20">
        <f>K67</f>
        <v>2696.0348573333331</v>
      </c>
    </row>
    <row r="126" spans="3:12" x14ac:dyDescent="0.25">
      <c r="C126" s="6" t="s">
        <v>42</v>
      </c>
      <c r="D126" s="183" t="s">
        <v>146</v>
      </c>
      <c r="E126" s="184"/>
      <c r="F126" s="20">
        <f>F78</f>
        <v>315.79749609600003</v>
      </c>
      <c r="H126" s="6" t="s">
        <v>42</v>
      </c>
      <c r="I126" s="183" t="s">
        <v>146</v>
      </c>
      <c r="J126" s="184"/>
      <c r="K126" s="20">
        <f>K78</f>
        <v>315.79749609600003</v>
      </c>
    </row>
    <row r="127" spans="3:12" x14ac:dyDescent="0.25">
      <c r="C127" s="6" t="s">
        <v>44</v>
      </c>
      <c r="D127" s="183" t="s">
        <v>147</v>
      </c>
      <c r="E127" s="184"/>
      <c r="F127" s="20">
        <f>F98</f>
        <v>172.02671959665099</v>
      </c>
      <c r="H127" s="6" t="s">
        <v>44</v>
      </c>
      <c r="I127" s="183" t="s">
        <v>147</v>
      </c>
      <c r="J127" s="184"/>
      <c r="K127" s="20">
        <f>K98</f>
        <v>172.02671959665099</v>
      </c>
    </row>
    <row r="128" spans="3:12" x14ac:dyDescent="0.25">
      <c r="C128" s="6" t="s">
        <v>47</v>
      </c>
      <c r="D128" s="183" t="s">
        <v>148</v>
      </c>
      <c r="E128" s="184"/>
      <c r="F128" s="20">
        <f>F107</f>
        <v>114.3737888888889</v>
      </c>
      <c r="H128" s="6" t="s">
        <v>47</v>
      </c>
      <c r="I128" s="183" t="s">
        <v>148</v>
      </c>
      <c r="J128" s="184"/>
      <c r="K128" s="20">
        <f>K107</f>
        <v>114.3737888888889</v>
      </c>
    </row>
    <row r="129" spans="3:11" x14ac:dyDescent="0.25">
      <c r="C129" s="235" t="s">
        <v>149</v>
      </c>
      <c r="D129" s="236"/>
      <c r="E129" s="237"/>
      <c r="F129" s="20">
        <f>SUM(F124:F128)</f>
        <v>9494.9828785815389</v>
      </c>
      <c r="H129" s="235" t="s">
        <v>149</v>
      </c>
      <c r="I129" s="236"/>
      <c r="J129" s="237"/>
      <c r="K129" s="20">
        <f>SUM(K124:K128)</f>
        <v>8300.0938619148728</v>
      </c>
    </row>
    <row r="130" spans="3:11" x14ac:dyDescent="0.25">
      <c r="C130" s="6" t="s">
        <v>150</v>
      </c>
      <c r="D130" s="183" t="s">
        <v>151</v>
      </c>
      <c r="E130" s="184"/>
      <c r="F130" s="20">
        <f>F120</f>
        <v>2344.7400281062837</v>
      </c>
      <c r="H130" s="6" t="s">
        <v>150</v>
      </c>
      <c r="I130" s="183" t="s">
        <v>151</v>
      </c>
      <c r="J130" s="184"/>
      <c r="K130" s="20">
        <f>K120</f>
        <v>2049.6679734906925</v>
      </c>
    </row>
    <row r="131" spans="3:11" x14ac:dyDescent="0.25">
      <c r="C131" s="199" t="s">
        <v>152</v>
      </c>
      <c r="D131" s="201"/>
      <c r="E131" s="200"/>
      <c r="F131" s="42">
        <f>F129+F130</f>
        <v>11839.722906687823</v>
      </c>
      <c r="H131" s="199" t="s">
        <v>152</v>
      </c>
      <c r="I131" s="201"/>
      <c r="J131" s="200"/>
      <c r="K131" s="42">
        <f>K129+K130</f>
        <v>10349.761835405565</v>
      </c>
    </row>
    <row r="132" spans="3:11" x14ac:dyDescent="0.25">
      <c r="C132" s="199" t="s">
        <v>1084</v>
      </c>
      <c r="D132" s="201"/>
      <c r="E132" s="200"/>
      <c r="F132" s="42">
        <f>F131/220</f>
        <v>53.816922303126468</v>
      </c>
      <c r="H132" s="199" t="s">
        <v>1084</v>
      </c>
      <c r="I132" s="201"/>
      <c r="J132" s="200"/>
      <c r="K132" s="42">
        <f>K131/220</f>
        <v>47.044371979116207</v>
      </c>
    </row>
  </sheetData>
  <mergeCells count="164">
    <mergeCell ref="C132:E132"/>
    <mergeCell ref="H132:J132"/>
    <mergeCell ref="C129:E129"/>
    <mergeCell ref="H129:J129"/>
    <mergeCell ref="D130:E130"/>
    <mergeCell ref="I130:J130"/>
    <mergeCell ref="C131:E131"/>
    <mergeCell ref="H131:J131"/>
    <mergeCell ref="D126:E126"/>
    <mergeCell ref="I126:J126"/>
    <mergeCell ref="D127:E127"/>
    <mergeCell ref="I127:J127"/>
    <mergeCell ref="D128:E128"/>
    <mergeCell ref="I128:J128"/>
    <mergeCell ref="C123:F123"/>
    <mergeCell ref="H123:K123"/>
    <mergeCell ref="D124:E124"/>
    <mergeCell ref="I124:J124"/>
    <mergeCell ref="D125:E125"/>
    <mergeCell ref="I125:J125"/>
    <mergeCell ref="C120:E120"/>
    <mergeCell ref="H120:J120"/>
    <mergeCell ref="C121:F121"/>
    <mergeCell ref="H121:K121"/>
    <mergeCell ref="C122:E122"/>
    <mergeCell ref="H122:J122"/>
    <mergeCell ref="D116:F116"/>
    <mergeCell ref="I116:K116"/>
    <mergeCell ref="E117:E119"/>
    <mergeCell ref="F117:F119"/>
    <mergeCell ref="J117:J119"/>
    <mergeCell ref="K117:K119"/>
    <mergeCell ref="C110:F110"/>
    <mergeCell ref="H110:K110"/>
    <mergeCell ref="C111:F111"/>
    <mergeCell ref="H111:K111"/>
    <mergeCell ref="C112:F112"/>
    <mergeCell ref="H112:K112"/>
    <mergeCell ref="C107:E107"/>
    <mergeCell ref="H107:J107"/>
    <mergeCell ref="C108:F108"/>
    <mergeCell ref="H108:K108"/>
    <mergeCell ref="C109:E109"/>
    <mergeCell ref="H109:J109"/>
    <mergeCell ref="D103:E103"/>
    <mergeCell ref="I103:J103"/>
    <mergeCell ref="D105:E105"/>
    <mergeCell ref="I105:J105"/>
    <mergeCell ref="D106:E106"/>
    <mergeCell ref="I106:J106"/>
    <mergeCell ref="C100:F100"/>
    <mergeCell ref="H100:K100"/>
    <mergeCell ref="C101:F101"/>
    <mergeCell ref="H101:K101"/>
    <mergeCell ref="D102:E102"/>
    <mergeCell ref="I102:J102"/>
    <mergeCell ref="D97:E97"/>
    <mergeCell ref="I97:J97"/>
    <mergeCell ref="C98:E98"/>
    <mergeCell ref="H98:J98"/>
    <mergeCell ref="C99:F99"/>
    <mergeCell ref="H99:K99"/>
    <mergeCell ref="C94:F94"/>
    <mergeCell ref="H94:K94"/>
    <mergeCell ref="C95:E95"/>
    <mergeCell ref="H95:J95"/>
    <mergeCell ref="D96:E96"/>
    <mergeCell ref="I96:J96"/>
    <mergeCell ref="C89:E89"/>
    <mergeCell ref="H89:J89"/>
    <mergeCell ref="C90:F90"/>
    <mergeCell ref="H90:K90"/>
    <mergeCell ref="C93:D93"/>
    <mergeCell ref="H93:I93"/>
    <mergeCell ref="C79:F79"/>
    <mergeCell ref="H79:K79"/>
    <mergeCell ref="C80:F80"/>
    <mergeCell ref="H80:K80"/>
    <mergeCell ref="C81:F81"/>
    <mergeCell ref="H81:K81"/>
    <mergeCell ref="C69:F69"/>
    <mergeCell ref="H69:K69"/>
    <mergeCell ref="C70:F70"/>
    <mergeCell ref="H70:K70"/>
    <mergeCell ref="C78:E78"/>
    <mergeCell ref="H78:J78"/>
    <mergeCell ref="D66:E66"/>
    <mergeCell ref="I66:J66"/>
    <mergeCell ref="C67:E67"/>
    <mergeCell ref="H67:J67"/>
    <mergeCell ref="C68:F68"/>
    <mergeCell ref="H68:K68"/>
    <mergeCell ref="C63:E63"/>
    <mergeCell ref="H63:J63"/>
    <mergeCell ref="D64:E64"/>
    <mergeCell ref="I64:J64"/>
    <mergeCell ref="D65:E65"/>
    <mergeCell ref="I65:J65"/>
    <mergeCell ref="C54:F54"/>
    <mergeCell ref="H54:K54"/>
    <mergeCell ref="C61:E61"/>
    <mergeCell ref="H61:J61"/>
    <mergeCell ref="C62:F62"/>
    <mergeCell ref="H62:K62"/>
    <mergeCell ref="C42:E42"/>
    <mergeCell ref="H42:J42"/>
    <mergeCell ref="C43:F43"/>
    <mergeCell ref="H43:K43"/>
    <mergeCell ref="C53:D53"/>
    <mergeCell ref="H53:I53"/>
    <mergeCell ref="C36:F36"/>
    <mergeCell ref="H36:K36"/>
    <mergeCell ref="C37:F37"/>
    <mergeCell ref="H37:K37"/>
    <mergeCell ref="C38:F38"/>
    <mergeCell ref="H38:K38"/>
    <mergeCell ref="C26:F26"/>
    <mergeCell ref="H26:K26"/>
    <mergeCell ref="D27:E27"/>
    <mergeCell ref="I27:J27"/>
    <mergeCell ref="C35:E35"/>
    <mergeCell ref="H35:J35"/>
    <mergeCell ref="D23:E23"/>
    <mergeCell ref="I23:J23"/>
    <mergeCell ref="C24:F24"/>
    <mergeCell ref="H24:K24"/>
    <mergeCell ref="C25:F25"/>
    <mergeCell ref="H25:K25"/>
    <mergeCell ref="C20:F20"/>
    <mergeCell ref="H20:K20"/>
    <mergeCell ref="D21:E21"/>
    <mergeCell ref="I21:J21"/>
    <mergeCell ref="D22:E22"/>
    <mergeCell ref="I22:J22"/>
    <mergeCell ref="E18:F18"/>
    <mergeCell ref="J18:K18"/>
    <mergeCell ref="E19:F19"/>
    <mergeCell ref="J19:K19"/>
    <mergeCell ref="C14:F14"/>
    <mergeCell ref="H14:K14"/>
    <mergeCell ref="C15:F15"/>
    <mergeCell ref="H15:K15"/>
    <mergeCell ref="C16:F16"/>
    <mergeCell ref="H16:K16"/>
    <mergeCell ref="E13:F13"/>
    <mergeCell ref="J13:K13"/>
    <mergeCell ref="E7:F7"/>
    <mergeCell ref="J7:K7"/>
    <mergeCell ref="E8:F8"/>
    <mergeCell ref="J8:K8"/>
    <mergeCell ref="E10:F10"/>
    <mergeCell ref="J10:K10"/>
    <mergeCell ref="E17:F17"/>
    <mergeCell ref="J17:K17"/>
    <mergeCell ref="C4:F4"/>
    <mergeCell ref="H4:K4"/>
    <mergeCell ref="C5:F5"/>
    <mergeCell ref="H5:K5"/>
    <mergeCell ref="C6:F6"/>
    <mergeCell ref="H6:K6"/>
    <mergeCell ref="E11:F11"/>
    <mergeCell ref="J11:K11"/>
    <mergeCell ref="E12:F12"/>
    <mergeCell ref="J12:K12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10DBD-5CDC-4989-B473-27376030D698}">
  <dimension ref="A1:H612"/>
  <sheetViews>
    <sheetView topLeftCell="A582" workbookViewId="0">
      <selection activeCell="E602" sqref="E602:G602"/>
    </sheetView>
  </sheetViews>
  <sheetFormatPr defaultRowHeight="15" x14ac:dyDescent="0.25"/>
  <cols>
    <col min="2" max="2" width="23.42578125" customWidth="1"/>
    <col min="3" max="3" width="31.140625" customWidth="1"/>
    <col min="4" max="4" width="32.42578125" customWidth="1"/>
    <col min="5" max="5" width="21.85546875" customWidth="1"/>
    <col min="6" max="6" width="11.28515625" customWidth="1"/>
    <col min="7" max="7" width="11.28515625" bestFit="1" customWidth="1"/>
    <col min="8" max="8" width="11" bestFit="1" customWidth="1"/>
  </cols>
  <sheetData>
    <row r="1" spans="1:8" ht="15.75" thickBot="1" x14ac:dyDescent="0.3">
      <c r="A1" s="304" t="s">
        <v>231</v>
      </c>
      <c r="B1" s="305"/>
      <c r="C1" s="305"/>
      <c r="D1" s="305"/>
      <c r="E1" s="305"/>
      <c r="F1" s="305"/>
      <c r="G1" s="305"/>
      <c r="H1" s="306"/>
    </row>
    <row r="2" spans="1:8" ht="15.75" thickBot="1" x14ac:dyDescent="0.3">
      <c r="A2" s="307" t="s">
        <v>232</v>
      </c>
      <c r="B2" s="308"/>
      <c r="C2" s="308"/>
      <c r="D2" s="308"/>
      <c r="E2" s="308"/>
      <c r="F2" s="308"/>
      <c r="G2" s="308"/>
      <c r="H2" s="309"/>
    </row>
    <row r="3" spans="1:8" ht="24.75" thickBot="1" x14ac:dyDescent="0.3">
      <c r="A3" s="95" t="s">
        <v>233</v>
      </c>
      <c r="B3" s="95" t="s">
        <v>234</v>
      </c>
      <c r="C3" s="96" t="s">
        <v>235</v>
      </c>
      <c r="D3" s="95" t="s">
        <v>236</v>
      </c>
      <c r="E3" s="95" t="s">
        <v>237</v>
      </c>
      <c r="F3" s="95" t="s">
        <v>238</v>
      </c>
      <c r="G3" s="95" t="s">
        <v>239</v>
      </c>
      <c r="H3" s="96" t="s">
        <v>240</v>
      </c>
    </row>
    <row r="4" spans="1:8" ht="36.75" thickBot="1" x14ac:dyDescent="0.3">
      <c r="A4" s="97">
        <v>1</v>
      </c>
      <c r="B4" s="98" t="s">
        <v>241</v>
      </c>
      <c r="C4" s="98">
        <v>157</v>
      </c>
      <c r="D4" s="99" t="s">
        <v>242</v>
      </c>
      <c r="E4" s="98" t="s">
        <v>243</v>
      </c>
      <c r="F4" s="98">
        <v>5</v>
      </c>
      <c r="G4" s="100">
        <v>162.97999999999999</v>
      </c>
      <c r="H4" s="101">
        <f>G4*F4</f>
        <v>814.9</v>
      </c>
    </row>
    <row r="5" spans="1:8" ht="24.75" thickBot="1" x14ac:dyDescent="0.3">
      <c r="A5" s="97">
        <v>2</v>
      </c>
      <c r="B5" s="98" t="s">
        <v>241</v>
      </c>
      <c r="C5" s="98">
        <v>5318</v>
      </c>
      <c r="D5" s="99" t="s">
        <v>244</v>
      </c>
      <c r="E5" s="98" t="s">
        <v>245</v>
      </c>
      <c r="F5" s="98">
        <v>36</v>
      </c>
      <c r="G5" s="100">
        <v>20.260000000000002</v>
      </c>
      <c r="H5" s="101">
        <f t="shared" ref="H5:H68" si="0">G5*F5</f>
        <v>729.36</v>
      </c>
    </row>
    <row r="6" spans="1:8" ht="36.75" thickBot="1" x14ac:dyDescent="0.3">
      <c r="A6" s="97">
        <v>3</v>
      </c>
      <c r="B6" s="98" t="s">
        <v>241</v>
      </c>
      <c r="C6" s="98">
        <v>36246</v>
      </c>
      <c r="D6" s="99" t="s">
        <v>246</v>
      </c>
      <c r="E6" s="98" t="s">
        <v>247</v>
      </c>
      <c r="F6" s="98">
        <v>210</v>
      </c>
      <c r="G6" s="100">
        <v>3.93</v>
      </c>
      <c r="H6" s="101">
        <f t="shared" si="0"/>
        <v>825.30000000000007</v>
      </c>
    </row>
    <row r="7" spans="1:8" ht="24.75" thickBot="1" x14ac:dyDescent="0.3">
      <c r="A7" s="97">
        <v>4</v>
      </c>
      <c r="B7" s="98" t="s">
        <v>241</v>
      </c>
      <c r="C7" s="98" t="s">
        <v>248</v>
      </c>
      <c r="D7" s="99" t="s">
        <v>249</v>
      </c>
      <c r="E7" s="98" t="s">
        <v>245</v>
      </c>
      <c r="F7" s="98">
        <v>15</v>
      </c>
      <c r="G7" s="100">
        <v>15.38</v>
      </c>
      <c r="H7" s="101">
        <f t="shared" si="0"/>
        <v>230.70000000000002</v>
      </c>
    </row>
    <row r="8" spans="1:8" ht="36.75" thickBot="1" x14ac:dyDescent="0.3">
      <c r="A8" s="97">
        <v>5</v>
      </c>
      <c r="B8" s="98" t="s">
        <v>241</v>
      </c>
      <c r="C8" s="98">
        <v>366</v>
      </c>
      <c r="D8" s="99" t="s">
        <v>250</v>
      </c>
      <c r="E8" s="98" t="s">
        <v>251</v>
      </c>
      <c r="F8" s="98">
        <v>20</v>
      </c>
      <c r="G8" s="100">
        <v>132.5</v>
      </c>
      <c r="H8" s="101">
        <f t="shared" si="0"/>
        <v>2650</v>
      </c>
    </row>
    <row r="9" spans="1:8" ht="36.75" thickBot="1" x14ac:dyDescent="0.3">
      <c r="A9" s="97">
        <v>6</v>
      </c>
      <c r="B9" s="98" t="s">
        <v>241</v>
      </c>
      <c r="C9" s="98">
        <v>370</v>
      </c>
      <c r="D9" s="99" t="s">
        <v>252</v>
      </c>
      <c r="E9" s="98" t="s">
        <v>251</v>
      </c>
      <c r="F9" s="98">
        <v>20</v>
      </c>
      <c r="G9" s="100">
        <v>132.5</v>
      </c>
      <c r="H9" s="101">
        <f t="shared" si="0"/>
        <v>2650</v>
      </c>
    </row>
    <row r="10" spans="1:8" ht="24.75" thickBot="1" x14ac:dyDescent="0.3">
      <c r="A10" s="97">
        <v>7</v>
      </c>
      <c r="B10" s="98" t="s">
        <v>241</v>
      </c>
      <c r="C10" s="98">
        <v>1381</v>
      </c>
      <c r="D10" s="99" t="s">
        <v>253</v>
      </c>
      <c r="E10" s="98" t="s">
        <v>243</v>
      </c>
      <c r="F10" s="98">
        <v>30</v>
      </c>
      <c r="G10" s="100">
        <v>1.2</v>
      </c>
      <c r="H10" s="101">
        <f t="shared" si="0"/>
        <v>36</v>
      </c>
    </row>
    <row r="11" spans="1:8" ht="15.75" thickBot="1" x14ac:dyDescent="0.3">
      <c r="A11" s="97">
        <v>8</v>
      </c>
      <c r="B11" s="98" t="s">
        <v>241</v>
      </c>
      <c r="C11" s="98">
        <v>34353</v>
      </c>
      <c r="D11" s="99" t="s">
        <v>254</v>
      </c>
      <c r="E11" s="98" t="s">
        <v>243</v>
      </c>
      <c r="F11" s="98">
        <v>70</v>
      </c>
      <c r="G11" s="100">
        <v>2.23</v>
      </c>
      <c r="H11" s="101">
        <f t="shared" si="0"/>
        <v>156.1</v>
      </c>
    </row>
    <row r="12" spans="1:8" ht="15.75" thickBot="1" x14ac:dyDescent="0.3">
      <c r="A12" s="97">
        <v>9</v>
      </c>
      <c r="B12" s="98" t="s">
        <v>241</v>
      </c>
      <c r="C12" s="98">
        <v>37595</v>
      </c>
      <c r="D12" s="99" t="s">
        <v>255</v>
      </c>
      <c r="E12" s="98" t="s">
        <v>243</v>
      </c>
      <c r="F12" s="98">
        <v>50</v>
      </c>
      <c r="G12" s="100">
        <v>3.69</v>
      </c>
      <c r="H12" s="101">
        <f t="shared" si="0"/>
        <v>184.5</v>
      </c>
    </row>
    <row r="13" spans="1:8" ht="15.75" thickBot="1" x14ac:dyDescent="0.3">
      <c r="A13" s="97">
        <v>10</v>
      </c>
      <c r="B13" s="98" t="s">
        <v>241</v>
      </c>
      <c r="C13" s="98">
        <v>37596</v>
      </c>
      <c r="D13" s="99" t="s">
        <v>256</v>
      </c>
      <c r="E13" s="98" t="s">
        <v>243</v>
      </c>
      <c r="F13" s="98">
        <v>30</v>
      </c>
      <c r="G13" s="100">
        <v>4.2300000000000004</v>
      </c>
      <c r="H13" s="101">
        <f t="shared" si="0"/>
        <v>126.9</v>
      </c>
    </row>
    <row r="14" spans="1:8" ht="15.75" thickBot="1" x14ac:dyDescent="0.3">
      <c r="A14" s="97">
        <v>11</v>
      </c>
      <c r="B14" s="98" t="s">
        <v>241</v>
      </c>
      <c r="C14" s="98">
        <v>36886</v>
      </c>
      <c r="D14" s="99" t="s">
        <v>257</v>
      </c>
      <c r="E14" s="98" t="s">
        <v>243</v>
      </c>
      <c r="F14" s="98">
        <v>100</v>
      </c>
      <c r="G14" s="100">
        <v>1.24</v>
      </c>
      <c r="H14" s="101">
        <f t="shared" si="0"/>
        <v>124</v>
      </c>
    </row>
    <row r="15" spans="1:8" ht="36.75" thickBot="1" x14ac:dyDescent="0.3">
      <c r="A15" s="97">
        <v>12</v>
      </c>
      <c r="B15" s="98" t="s">
        <v>241</v>
      </c>
      <c r="C15" s="98">
        <v>43054</v>
      </c>
      <c r="D15" s="99" t="s">
        <v>258</v>
      </c>
      <c r="E15" s="98" t="s">
        <v>243</v>
      </c>
      <c r="F15" s="98">
        <v>60</v>
      </c>
      <c r="G15" s="100">
        <v>9.9700000000000006</v>
      </c>
      <c r="H15" s="101">
        <f t="shared" si="0"/>
        <v>598.20000000000005</v>
      </c>
    </row>
    <row r="16" spans="1:8" ht="15.75" thickBot="1" x14ac:dyDescent="0.3">
      <c r="A16" s="97">
        <v>13</v>
      </c>
      <c r="B16" s="98" t="s">
        <v>241</v>
      </c>
      <c r="C16" s="116" t="s">
        <v>259</v>
      </c>
      <c r="D16" s="99" t="s">
        <v>260</v>
      </c>
      <c r="E16" s="98" t="s">
        <v>243</v>
      </c>
      <c r="F16" s="98">
        <v>70</v>
      </c>
      <c r="G16" s="100">
        <v>9.2799999999999994</v>
      </c>
      <c r="H16" s="101">
        <f t="shared" si="0"/>
        <v>649.59999999999991</v>
      </c>
    </row>
    <row r="17" spans="1:8" ht="24.75" thickBot="1" x14ac:dyDescent="0.3">
      <c r="A17" s="97">
        <v>14</v>
      </c>
      <c r="B17" s="98" t="s">
        <v>241</v>
      </c>
      <c r="C17" s="98">
        <v>43055</v>
      </c>
      <c r="D17" s="99" t="s">
        <v>261</v>
      </c>
      <c r="E17" s="98" t="s">
        <v>243</v>
      </c>
      <c r="F17" s="98">
        <v>50</v>
      </c>
      <c r="G17" s="100">
        <v>8.0399999999999991</v>
      </c>
      <c r="H17" s="101">
        <f t="shared" si="0"/>
        <v>401.99999999999994</v>
      </c>
    </row>
    <row r="18" spans="1:8" ht="24.75" thickBot="1" x14ac:dyDescent="0.3">
      <c r="A18" s="97">
        <v>15</v>
      </c>
      <c r="B18" s="98" t="s">
        <v>241</v>
      </c>
      <c r="C18" s="98">
        <v>43056</v>
      </c>
      <c r="D18" s="99" t="s">
        <v>262</v>
      </c>
      <c r="E18" s="98" t="s">
        <v>243</v>
      </c>
      <c r="F18" s="98">
        <v>75</v>
      </c>
      <c r="G18" s="100">
        <v>9.27</v>
      </c>
      <c r="H18" s="101">
        <f t="shared" si="0"/>
        <v>695.25</v>
      </c>
    </row>
    <row r="19" spans="1:8" ht="15.75" thickBot="1" x14ac:dyDescent="0.3">
      <c r="A19" s="97">
        <v>16</v>
      </c>
      <c r="B19" s="98" t="s">
        <v>241</v>
      </c>
      <c r="C19" s="98">
        <v>43057</v>
      </c>
      <c r="D19" s="99" t="s">
        <v>263</v>
      </c>
      <c r="E19" s="98" t="s">
        <v>243</v>
      </c>
      <c r="F19" s="98">
        <v>75</v>
      </c>
      <c r="G19" s="100">
        <v>10.19</v>
      </c>
      <c r="H19" s="101">
        <f t="shared" si="0"/>
        <v>764.25</v>
      </c>
    </row>
    <row r="20" spans="1:8" ht="36.75" thickBot="1" x14ac:dyDescent="0.3">
      <c r="A20" s="97">
        <v>17</v>
      </c>
      <c r="B20" s="98" t="s">
        <v>241</v>
      </c>
      <c r="C20" s="98">
        <v>7334</v>
      </c>
      <c r="D20" s="99" t="s">
        <v>264</v>
      </c>
      <c r="E20" s="98" t="s">
        <v>245</v>
      </c>
      <c r="F20" s="98">
        <v>15</v>
      </c>
      <c r="G20" s="100">
        <v>16.59</v>
      </c>
      <c r="H20" s="101">
        <f t="shared" si="0"/>
        <v>248.85</v>
      </c>
    </row>
    <row r="21" spans="1:8" ht="24.75" thickBot="1" x14ac:dyDescent="0.3">
      <c r="A21" s="97">
        <v>18</v>
      </c>
      <c r="B21" s="98" t="s">
        <v>241</v>
      </c>
      <c r="C21" s="98">
        <v>127</v>
      </c>
      <c r="D21" s="99" t="s">
        <v>265</v>
      </c>
      <c r="E21" s="98" t="s">
        <v>245</v>
      </c>
      <c r="F21" s="98">
        <v>15</v>
      </c>
      <c r="G21" s="100">
        <v>18.690000000000001</v>
      </c>
      <c r="H21" s="101">
        <f t="shared" si="0"/>
        <v>280.35000000000002</v>
      </c>
    </row>
    <row r="22" spans="1:8" ht="48.75" thickBot="1" x14ac:dyDescent="0.3">
      <c r="A22" s="97">
        <v>19</v>
      </c>
      <c r="B22" s="98" t="s">
        <v>241</v>
      </c>
      <c r="C22" s="98">
        <v>123</v>
      </c>
      <c r="D22" s="99" t="s">
        <v>266</v>
      </c>
      <c r="E22" s="98" t="s">
        <v>245</v>
      </c>
      <c r="F22" s="98">
        <v>15</v>
      </c>
      <c r="G22" s="100">
        <v>7.83</v>
      </c>
      <c r="H22" s="101">
        <f t="shared" si="0"/>
        <v>117.45</v>
      </c>
    </row>
    <row r="23" spans="1:8" ht="48.75" thickBot="1" x14ac:dyDescent="0.3">
      <c r="A23" s="97">
        <v>20</v>
      </c>
      <c r="B23" s="98" t="s">
        <v>241</v>
      </c>
      <c r="C23" s="98">
        <v>43617</v>
      </c>
      <c r="D23" s="99" t="s">
        <v>267</v>
      </c>
      <c r="E23" s="98" t="s">
        <v>245</v>
      </c>
      <c r="F23" s="98">
        <v>15</v>
      </c>
      <c r="G23" s="100">
        <v>8.67</v>
      </c>
      <c r="H23" s="101">
        <f t="shared" si="0"/>
        <v>130.05000000000001</v>
      </c>
    </row>
    <row r="24" spans="1:8" ht="36.75" thickBot="1" x14ac:dyDescent="0.3">
      <c r="A24" s="97">
        <v>21</v>
      </c>
      <c r="B24" s="98" t="s">
        <v>241</v>
      </c>
      <c r="C24" s="98">
        <v>43130</v>
      </c>
      <c r="D24" s="99" t="s">
        <v>268</v>
      </c>
      <c r="E24" s="98" t="s">
        <v>243</v>
      </c>
      <c r="F24" s="98">
        <v>4</v>
      </c>
      <c r="G24" s="100">
        <v>24.95</v>
      </c>
      <c r="H24" s="101">
        <f t="shared" si="0"/>
        <v>99.8</v>
      </c>
    </row>
    <row r="25" spans="1:8" ht="24.75" thickBot="1" x14ac:dyDescent="0.3">
      <c r="A25" s="97">
        <v>22</v>
      </c>
      <c r="B25" s="98" t="s">
        <v>241</v>
      </c>
      <c r="C25" s="98">
        <v>344</v>
      </c>
      <c r="D25" s="99" t="s">
        <v>269</v>
      </c>
      <c r="E25" s="98" t="s">
        <v>243</v>
      </c>
      <c r="F25" s="98">
        <v>3</v>
      </c>
      <c r="G25" s="100">
        <v>32.799999999999997</v>
      </c>
      <c r="H25" s="101">
        <f t="shared" si="0"/>
        <v>98.399999999999991</v>
      </c>
    </row>
    <row r="26" spans="1:8" ht="24.75" thickBot="1" x14ac:dyDescent="0.3">
      <c r="A26" s="97">
        <v>23</v>
      </c>
      <c r="B26" s="98" t="s">
        <v>241</v>
      </c>
      <c r="C26" s="98">
        <v>345</v>
      </c>
      <c r="D26" s="99" t="s">
        <v>270</v>
      </c>
      <c r="E26" s="98" t="s">
        <v>243</v>
      </c>
      <c r="F26" s="98">
        <v>3</v>
      </c>
      <c r="G26" s="100">
        <v>35.590000000000003</v>
      </c>
      <c r="H26" s="101">
        <f t="shared" si="0"/>
        <v>106.77000000000001</v>
      </c>
    </row>
    <row r="27" spans="1:8" ht="48.75" thickBot="1" x14ac:dyDescent="0.3">
      <c r="A27" s="97">
        <v>24</v>
      </c>
      <c r="B27" s="98" t="s">
        <v>241</v>
      </c>
      <c r="C27" s="98">
        <v>43131</v>
      </c>
      <c r="D27" s="99" t="s">
        <v>271</v>
      </c>
      <c r="E27" s="98" t="s">
        <v>243</v>
      </c>
      <c r="F27" s="98">
        <v>4</v>
      </c>
      <c r="G27" s="100">
        <v>28.98</v>
      </c>
      <c r="H27" s="101">
        <f t="shared" si="0"/>
        <v>115.92</v>
      </c>
    </row>
    <row r="28" spans="1:8" ht="36.75" thickBot="1" x14ac:dyDescent="0.3">
      <c r="A28" s="97">
        <v>25</v>
      </c>
      <c r="B28" s="98" t="s">
        <v>241</v>
      </c>
      <c r="C28" s="98">
        <v>43132</v>
      </c>
      <c r="D28" s="99" t="s">
        <v>272</v>
      </c>
      <c r="E28" s="98" t="s">
        <v>243</v>
      </c>
      <c r="F28" s="98">
        <v>4</v>
      </c>
      <c r="G28" s="100">
        <v>24.95</v>
      </c>
      <c r="H28" s="101">
        <f t="shared" si="0"/>
        <v>99.8</v>
      </c>
    </row>
    <row r="29" spans="1:8" ht="60.75" thickBot="1" x14ac:dyDescent="0.3">
      <c r="A29" s="97">
        <v>26</v>
      </c>
      <c r="B29" s="98" t="s">
        <v>241</v>
      </c>
      <c r="C29" s="98">
        <v>38364</v>
      </c>
      <c r="D29" s="99" t="s">
        <v>273</v>
      </c>
      <c r="E29" s="98" t="s">
        <v>274</v>
      </c>
      <c r="F29" s="98">
        <v>1</v>
      </c>
      <c r="G29" s="100">
        <v>876.31</v>
      </c>
      <c r="H29" s="101">
        <f t="shared" si="0"/>
        <v>876.31</v>
      </c>
    </row>
    <row r="30" spans="1:8" ht="72.75" thickBot="1" x14ac:dyDescent="0.3">
      <c r="A30" s="97">
        <v>27</v>
      </c>
      <c r="B30" s="98" t="s">
        <v>241</v>
      </c>
      <c r="C30" s="98">
        <v>40524</v>
      </c>
      <c r="D30" s="99" t="s">
        <v>275</v>
      </c>
      <c r="E30" s="98" t="s">
        <v>276</v>
      </c>
      <c r="F30" s="98">
        <v>10</v>
      </c>
      <c r="G30" s="100">
        <v>111.76</v>
      </c>
      <c r="H30" s="101">
        <f t="shared" si="0"/>
        <v>1117.6000000000001</v>
      </c>
    </row>
    <row r="31" spans="1:8" ht="60.75" thickBot="1" x14ac:dyDescent="0.3">
      <c r="A31" s="97">
        <v>28</v>
      </c>
      <c r="B31" s="98" t="s">
        <v>241</v>
      </c>
      <c r="C31" s="98">
        <v>711</v>
      </c>
      <c r="D31" s="99" t="s">
        <v>277</v>
      </c>
      <c r="E31" s="98" t="s">
        <v>276</v>
      </c>
      <c r="F31" s="98">
        <v>20</v>
      </c>
      <c r="G31" s="100">
        <v>75.569999999999993</v>
      </c>
      <c r="H31" s="101">
        <f t="shared" si="0"/>
        <v>1511.3999999999999</v>
      </c>
    </row>
    <row r="32" spans="1:8" ht="24.75" thickBot="1" x14ac:dyDescent="0.3">
      <c r="A32" s="97">
        <v>29</v>
      </c>
      <c r="B32" s="98" t="s">
        <v>241</v>
      </c>
      <c r="C32" s="98">
        <v>39961</v>
      </c>
      <c r="D32" s="99" t="s">
        <v>278</v>
      </c>
      <c r="E32" s="98" t="s">
        <v>274</v>
      </c>
      <c r="F32" s="98">
        <v>12</v>
      </c>
      <c r="G32" s="100">
        <v>24.81</v>
      </c>
      <c r="H32" s="101">
        <f t="shared" si="0"/>
        <v>297.71999999999997</v>
      </c>
    </row>
    <row r="33" spans="1:8" ht="24.75" thickBot="1" x14ac:dyDescent="0.3">
      <c r="A33" s="97">
        <v>30</v>
      </c>
      <c r="B33" s="98" t="s">
        <v>241</v>
      </c>
      <c r="C33" s="98">
        <v>7271</v>
      </c>
      <c r="D33" s="99" t="s">
        <v>279</v>
      </c>
      <c r="E33" s="98" t="s">
        <v>274</v>
      </c>
      <c r="F33" s="98">
        <v>1000</v>
      </c>
      <c r="G33" s="100">
        <v>1.08</v>
      </c>
      <c r="H33" s="101">
        <f t="shared" si="0"/>
        <v>1080</v>
      </c>
    </row>
    <row r="34" spans="1:8" ht="36.75" thickBot="1" x14ac:dyDescent="0.3">
      <c r="A34" s="97">
        <v>31</v>
      </c>
      <c r="B34" s="98" t="s">
        <v>241</v>
      </c>
      <c r="C34" s="98">
        <v>7267</v>
      </c>
      <c r="D34" s="99" t="s">
        <v>280</v>
      </c>
      <c r="E34" s="98" t="s">
        <v>274</v>
      </c>
      <c r="F34" s="98">
        <v>1000</v>
      </c>
      <c r="G34" s="100">
        <v>0.98</v>
      </c>
      <c r="H34" s="101">
        <f t="shared" si="0"/>
        <v>980</v>
      </c>
    </row>
    <row r="35" spans="1:8" ht="24.75" thickBot="1" x14ac:dyDescent="0.3">
      <c r="A35" s="97">
        <v>32</v>
      </c>
      <c r="B35" s="98" t="s">
        <v>241</v>
      </c>
      <c r="C35" s="98">
        <v>7268</v>
      </c>
      <c r="D35" s="99" t="s">
        <v>281</v>
      </c>
      <c r="E35" s="98" t="s">
        <v>274</v>
      </c>
      <c r="F35" s="98">
        <v>1000</v>
      </c>
      <c r="G35" s="100">
        <v>1.5</v>
      </c>
      <c r="H35" s="101">
        <f t="shared" si="0"/>
        <v>1500</v>
      </c>
    </row>
    <row r="36" spans="1:8" ht="24.75" thickBot="1" x14ac:dyDescent="0.3">
      <c r="A36" s="97">
        <v>33</v>
      </c>
      <c r="B36" s="98" t="s">
        <v>241</v>
      </c>
      <c r="C36" s="98">
        <v>34570</v>
      </c>
      <c r="D36" s="99" t="s">
        <v>282</v>
      </c>
      <c r="E36" s="98" t="s">
        <v>274</v>
      </c>
      <c r="F36" s="98">
        <v>200</v>
      </c>
      <c r="G36" s="100">
        <v>6.45</v>
      </c>
      <c r="H36" s="101">
        <f t="shared" si="0"/>
        <v>1290</v>
      </c>
    </row>
    <row r="37" spans="1:8" ht="84.75" thickBot="1" x14ac:dyDescent="0.3">
      <c r="A37" s="97">
        <v>34</v>
      </c>
      <c r="B37" s="98" t="s">
        <v>241</v>
      </c>
      <c r="C37" s="98">
        <v>181</v>
      </c>
      <c r="D37" s="99" t="s">
        <v>283</v>
      </c>
      <c r="E37" s="98" t="s">
        <v>284</v>
      </c>
      <c r="F37" s="98">
        <v>4</v>
      </c>
      <c r="G37" s="100">
        <v>331.7</v>
      </c>
      <c r="H37" s="101">
        <f t="shared" si="0"/>
        <v>1326.8</v>
      </c>
    </row>
    <row r="38" spans="1:8" ht="15.75" thickBot="1" x14ac:dyDescent="0.3">
      <c r="A38" s="97">
        <v>35</v>
      </c>
      <c r="B38" s="98" t="s">
        <v>241</v>
      </c>
      <c r="C38" s="98">
        <v>4374</v>
      </c>
      <c r="D38" s="99" t="s">
        <v>285</v>
      </c>
      <c r="E38" s="98" t="s">
        <v>286</v>
      </c>
      <c r="F38" s="98">
        <v>20</v>
      </c>
      <c r="G38" s="100">
        <v>0.44</v>
      </c>
      <c r="H38" s="101">
        <f t="shared" si="0"/>
        <v>8.8000000000000007</v>
      </c>
    </row>
    <row r="39" spans="1:8" ht="48.75" thickBot="1" x14ac:dyDescent="0.3">
      <c r="A39" s="97">
        <v>36</v>
      </c>
      <c r="B39" s="98" t="s">
        <v>241</v>
      </c>
      <c r="C39" s="98">
        <v>7568</v>
      </c>
      <c r="D39" s="99" t="s">
        <v>287</v>
      </c>
      <c r="E39" s="98" t="s">
        <v>286</v>
      </c>
      <c r="F39" s="98">
        <v>100</v>
      </c>
      <c r="G39" s="100">
        <v>0.73</v>
      </c>
      <c r="H39" s="101">
        <f t="shared" si="0"/>
        <v>73</v>
      </c>
    </row>
    <row r="40" spans="1:8" ht="48.75" thickBot="1" x14ac:dyDescent="0.3">
      <c r="A40" s="97">
        <v>37</v>
      </c>
      <c r="B40" s="98" t="s">
        <v>241</v>
      </c>
      <c r="C40" s="98">
        <v>7584</v>
      </c>
      <c r="D40" s="99" t="s">
        <v>288</v>
      </c>
      <c r="E40" s="98" t="s">
        <v>286</v>
      </c>
      <c r="F40" s="98">
        <v>20</v>
      </c>
      <c r="G40" s="100">
        <v>1.1200000000000001</v>
      </c>
      <c r="H40" s="101">
        <f t="shared" si="0"/>
        <v>22.400000000000002</v>
      </c>
    </row>
    <row r="41" spans="1:8" ht="15.75" thickBot="1" x14ac:dyDescent="0.3">
      <c r="A41" s="97">
        <v>38</v>
      </c>
      <c r="B41" s="98" t="s">
        <v>241</v>
      </c>
      <c r="C41" s="98">
        <v>11945</v>
      </c>
      <c r="D41" s="99" t="s">
        <v>289</v>
      </c>
      <c r="E41" s="98" t="s">
        <v>286</v>
      </c>
      <c r="F41" s="98">
        <v>20</v>
      </c>
      <c r="G41" s="100">
        <v>7.0000000000000007E-2</v>
      </c>
      <c r="H41" s="101">
        <f t="shared" si="0"/>
        <v>1.4000000000000001</v>
      </c>
    </row>
    <row r="42" spans="1:8" ht="15.75" thickBot="1" x14ac:dyDescent="0.3">
      <c r="A42" s="97">
        <v>39</v>
      </c>
      <c r="B42" s="98" t="s">
        <v>241</v>
      </c>
      <c r="C42" s="98">
        <v>11946</v>
      </c>
      <c r="D42" s="99" t="s">
        <v>290</v>
      </c>
      <c r="E42" s="98" t="s">
        <v>286</v>
      </c>
      <c r="F42" s="98">
        <v>20</v>
      </c>
      <c r="G42" s="100">
        <v>0.08</v>
      </c>
      <c r="H42" s="101">
        <f t="shared" si="0"/>
        <v>1.6</v>
      </c>
    </row>
    <row r="43" spans="1:8" ht="15.75" thickBot="1" x14ac:dyDescent="0.3">
      <c r="A43" s="97">
        <v>40</v>
      </c>
      <c r="B43" s="98" t="s">
        <v>241</v>
      </c>
      <c r="C43" s="98">
        <v>4375</v>
      </c>
      <c r="D43" s="99" t="s">
        <v>291</v>
      </c>
      <c r="E43" s="98" t="s">
        <v>286</v>
      </c>
      <c r="F43" s="98">
        <v>20</v>
      </c>
      <c r="G43" s="100">
        <v>0.12</v>
      </c>
      <c r="H43" s="101">
        <f t="shared" si="0"/>
        <v>2.4</v>
      </c>
    </row>
    <row r="44" spans="1:8" ht="48.75" thickBot="1" x14ac:dyDescent="0.3">
      <c r="A44" s="97">
        <v>41</v>
      </c>
      <c r="B44" s="98" t="s">
        <v>241</v>
      </c>
      <c r="C44" s="98">
        <v>11950</v>
      </c>
      <c r="D44" s="99" t="s">
        <v>292</v>
      </c>
      <c r="E44" s="98" t="s">
        <v>286</v>
      </c>
      <c r="F44" s="98">
        <v>100</v>
      </c>
      <c r="G44" s="100">
        <v>0.24</v>
      </c>
      <c r="H44" s="101">
        <f t="shared" si="0"/>
        <v>24</v>
      </c>
    </row>
    <row r="45" spans="1:8" ht="15.75" thickBot="1" x14ac:dyDescent="0.3">
      <c r="A45" s="97">
        <v>42</v>
      </c>
      <c r="B45" s="98" t="s">
        <v>241</v>
      </c>
      <c r="C45" s="98">
        <v>4376</v>
      </c>
      <c r="D45" s="99" t="s">
        <v>293</v>
      </c>
      <c r="E45" s="98" t="s">
        <v>286</v>
      </c>
      <c r="F45" s="98">
        <v>20</v>
      </c>
      <c r="G45" s="100">
        <v>0.23</v>
      </c>
      <c r="H45" s="101">
        <f t="shared" si="0"/>
        <v>4.6000000000000005</v>
      </c>
    </row>
    <row r="46" spans="1:8" ht="48.75" thickBot="1" x14ac:dyDescent="0.3">
      <c r="A46" s="97">
        <v>43</v>
      </c>
      <c r="B46" s="98" t="s">
        <v>241</v>
      </c>
      <c r="C46" s="98">
        <v>7583</v>
      </c>
      <c r="D46" s="99" t="s">
        <v>294</v>
      </c>
      <c r="E46" s="98" t="s">
        <v>286</v>
      </c>
      <c r="F46" s="98">
        <v>100</v>
      </c>
      <c r="G46" s="100">
        <v>0.5</v>
      </c>
      <c r="H46" s="101">
        <f t="shared" si="0"/>
        <v>50</v>
      </c>
    </row>
    <row r="47" spans="1:8" ht="48.75" thickBot="1" x14ac:dyDescent="0.3">
      <c r="A47" s="97">
        <v>44</v>
      </c>
      <c r="B47" s="98" t="s">
        <v>241</v>
      </c>
      <c r="C47" s="98">
        <v>4350</v>
      </c>
      <c r="D47" s="99" t="s">
        <v>295</v>
      </c>
      <c r="E47" s="98" t="s">
        <v>286</v>
      </c>
      <c r="F47" s="98">
        <v>20</v>
      </c>
      <c r="G47" s="100">
        <v>0.67</v>
      </c>
      <c r="H47" s="101">
        <f t="shared" si="0"/>
        <v>13.4</v>
      </c>
    </row>
    <row r="48" spans="1:8" ht="48.75" thickBot="1" x14ac:dyDescent="0.3">
      <c r="A48" s="97">
        <v>45</v>
      </c>
      <c r="B48" s="98" t="s">
        <v>241</v>
      </c>
      <c r="C48" s="98">
        <v>5090</v>
      </c>
      <c r="D48" s="99" t="s">
        <v>296</v>
      </c>
      <c r="E48" s="98" t="s">
        <v>286</v>
      </c>
      <c r="F48" s="98">
        <v>5</v>
      </c>
      <c r="G48" s="100">
        <v>23.69</v>
      </c>
      <c r="H48" s="101">
        <f t="shared" si="0"/>
        <v>118.45</v>
      </c>
    </row>
    <row r="49" spans="1:8" ht="48.75" thickBot="1" x14ac:dyDescent="0.3">
      <c r="A49" s="97">
        <v>46</v>
      </c>
      <c r="B49" s="98" t="s">
        <v>241</v>
      </c>
      <c r="C49" s="98">
        <v>5085</v>
      </c>
      <c r="D49" s="99" t="s">
        <v>297</v>
      </c>
      <c r="E49" s="98" t="s">
        <v>286</v>
      </c>
      <c r="F49" s="98">
        <v>4</v>
      </c>
      <c r="G49" s="100">
        <v>35.270000000000003</v>
      </c>
      <c r="H49" s="101">
        <f t="shared" si="0"/>
        <v>141.08000000000001</v>
      </c>
    </row>
    <row r="50" spans="1:8" ht="72.75" thickBot="1" x14ac:dyDescent="0.3">
      <c r="A50" s="97">
        <v>47</v>
      </c>
      <c r="B50" s="98" t="s">
        <v>241</v>
      </c>
      <c r="C50" s="98">
        <v>43603</v>
      </c>
      <c r="D50" s="99" t="s">
        <v>298</v>
      </c>
      <c r="E50" s="98" t="s">
        <v>286</v>
      </c>
      <c r="F50" s="98">
        <v>3</v>
      </c>
      <c r="G50" s="100">
        <v>50.38</v>
      </c>
      <c r="H50" s="101">
        <f t="shared" si="0"/>
        <v>151.14000000000001</v>
      </c>
    </row>
    <row r="51" spans="1:8" ht="36.75" thickBot="1" x14ac:dyDescent="0.3">
      <c r="A51" s="97">
        <v>48</v>
      </c>
      <c r="B51" s="98" t="s">
        <v>241</v>
      </c>
      <c r="C51" s="98">
        <v>4433</v>
      </c>
      <c r="D51" s="99" t="s">
        <v>299</v>
      </c>
      <c r="E51" s="98" t="s">
        <v>247</v>
      </c>
      <c r="F51" s="98">
        <v>20</v>
      </c>
      <c r="G51" s="100">
        <v>23.07</v>
      </c>
      <c r="H51" s="101">
        <f t="shared" si="0"/>
        <v>461.4</v>
      </c>
    </row>
    <row r="52" spans="1:8" ht="36.75" thickBot="1" x14ac:dyDescent="0.3">
      <c r="A52" s="97">
        <v>49</v>
      </c>
      <c r="B52" s="98" t="s">
        <v>241</v>
      </c>
      <c r="C52" s="98">
        <v>4430</v>
      </c>
      <c r="D52" s="99" t="s">
        <v>300</v>
      </c>
      <c r="E52" s="98" t="s">
        <v>247</v>
      </c>
      <c r="F52" s="98">
        <v>20</v>
      </c>
      <c r="G52" s="100">
        <v>11.8</v>
      </c>
      <c r="H52" s="101">
        <f t="shared" si="0"/>
        <v>236</v>
      </c>
    </row>
    <row r="53" spans="1:8" ht="36.75" thickBot="1" x14ac:dyDescent="0.3">
      <c r="A53" s="97">
        <v>50</v>
      </c>
      <c r="B53" s="98" t="s">
        <v>241</v>
      </c>
      <c r="C53" s="98">
        <v>4400</v>
      </c>
      <c r="D53" s="99" t="s">
        <v>301</v>
      </c>
      <c r="E53" s="98" t="s">
        <v>247</v>
      </c>
      <c r="F53" s="98">
        <v>20</v>
      </c>
      <c r="G53" s="100">
        <v>18.78</v>
      </c>
      <c r="H53" s="101">
        <f t="shared" si="0"/>
        <v>375.6</v>
      </c>
    </row>
    <row r="54" spans="1:8" ht="15.75" thickBot="1" x14ac:dyDescent="0.3">
      <c r="A54" s="97">
        <v>51</v>
      </c>
      <c r="B54" s="98" t="s">
        <v>241</v>
      </c>
      <c r="C54" s="98">
        <v>11161</v>
      </c>
      <c r="D54" s="99" t="s">
        <v>302</v>
      </c>
      <c r="E54" s="98" t="s">
        <v>303</v>
      </c>
      <c r="F54" s="98">
        <v>50</v>
      </c>
      <c r="G54" s="100">
        <v>1.67</v>
      </c>
      <c r="H54" s="101">
        <f t="shared" si="0"/>
        <v>83.5</v>
      </c>
    </row>
    <row r="55" spans="1:8" ht="24.75" thickBot="1" x14ac:dyDescent="0.3">
      <c r="A55" s="97">
        <v>52</v>
      </c>
      <c r="B55" s="98" t="s">
        <v>241</v>
      </c>
      <c r="C55" s="98">
        <v>1107</v>
      </c>
      <c r="D55" s="99" t="s">
        <v>304</v>
      </c>
      <c r="E55" s="98" t="s">
        <v>303</v>
      </c>
      <c r="F55" s="98">
        <v>50</v>
      </c>
      <c r="G55" s="100">
        <v>0.85</v>
      </c>
      <c r="H55" s="101">
        <f t="shared" si="0"/>
        <v>42.5</v>
      </c>
    </row>
    <row r="56" spans="1:8" ht="36.75" thickBot="1" x14ac:dyDescent="0.3">
      <c r="A56" s="97">
        <v>53</v>
      </c>
      <c r="B56" s="98" t="s">
        <v>241</v>
      </c>
      <c r="C56" s="98">
        <v>11572</v>
      </c>
      <c r="D56" s="99" t="s">
        <v>305</v>
      </c>
      <c r="E56" s="98" t="s">
        <v>286</v>
      </c>
      <c r="F56" s="98">
        <v>15</v>
      </c>
      <c r="G56" s="100">
        <v>36.869999999999997</v>
      </c>
      <c r="H56" s="101">
        <f t="shared" si="0"/>
        <v>553.04999999999995</v>
      </c>
    </row>
    <row r="57" spans="1:8" ht="36.75" thickBot="1" x14ac:dyDescent="0.3">
      <c r="A57" s="97">
        <v>54</v>
      </c>
      <c r="B57" s="98" t="s">
        <v>241</v>
      </c>
      <c r="C57" s="98">
        <v>1108</v>
      </c>
      <c r="D57" s="99" t="s">
        <v>306</v>
      </c>
      <c r="E57" s="98" t="s">
        <v>247</v>
      </c>
      <c r="F57" s="98">
        <v>10</v>
      </c>
      <c r="G57" s="100">
        <v>36.270000000000003</v>
      </c>
      <c r="H57" s="101">
        <f t="shared" si="0"/>
        <v>362.70000000000005</v>
      </c>
    </row>
    <row r="58" spans="1:8" ht="36.75" thickBot="1" x14ac:dyDescent="0.3">
      <c r="A58" s="97">
        <v>55</v>
      </c>
      <c r="B58" s="98" t="s">
        <v>241</v>
      </c>
      <c r="C58" s="98">
        <v>1117</v>
      </c>
      <c r="D58" s="99" t="s">
        <v>307</v>
      </c>
      <c r="E58" s="98" t="s">
        <v>247</v>
      </c>
      <c r="F58" s="98">
        <v>10</v>
      </c>
      <c r="G58" s="100">
        <v>36.56</v>
      </c>
      <c r="H58" s="101">
        <f t="shared" si="0"/>
        <v>365.6</v>
      </c>
    </row>
    <row r="59" spans="1:8" ht="36.75" thickBot="1" x14ac:dyDescent="0.3">
      <c r="A59" s="97">
        <v>56</v>
      </c>
      <c r="B59" s="98" t="s">
        <v>241</v>
      </c>
      <c r="C59" s="98">
        <v>1118</v>
      </c>
      <c r="D59" s="99" t="s">
        <v>308</v>
      </c>
      <c r="E59" s="98" t="s">
        <v>247</v>
      </c>
      <c r="F59" s="98">
        <v>10</v>
      </c>
      <c r="G59" s="100">
        <v>43.2</v>
      </c>
      <c r="H59" s="101">
        <f t="shared" si="0"/>
        <v>432</v>
      </c>
    </row>
    <row r="60" spans="1:8" ht="36.75" thickBot="1" x14ac:dyDescent="0.3">
      <c r="A60" s="97">
        <v>57</v>
      </c>
      <c r="B60" s="98" t="s">
        <v>241</v>
      </c>
      <c r="C60" s="98">
        <v>11552</v>
      </c>
      <c r="D60" s="99" t="s">
        <v>309</v>
      </c>
      <c r="E60" s="98" t="s">
        <v>247</v>
      </c>
      <c r="F60" s="98">
        <v>10</v>
      </c>
      <c r="G60" s="100">
        <v>8.48</v>
      </c>
      <c r="H60" s="101">
        <f t="shared" si="0"/>
        <v>84.800000000000011</v>
      </c>
    </row>
    <row r="61" spans="1:8" ht="36.75" thickBot="1" x14ac:dyDescent="0.3">
      <c r="A61" s="97">
        <v>58</v>
      </c>
      <c r="B61" s="98" t="s">
        <v>241</v>
      </c>
      <c r="C61" s="98">
        <v>1287</v>
      </c>
      <c r="D61" s="99" t="s">
        <v>310</v>
      </c>
      <c r="E61" s="98" t="s">
        <v>276</v>
      </c>
      <c r="F61" s="98">
        <v>35</v>
      </c>
      <c r="G61" s="100">
        <v>31.9</v>
      </c>
      <c r="H61" s="101">
        <f t="shared" si="0"/>
        <v>1116.5</v>
      </c>
    </row>
    <row r="62" spans="1:8" ht="24.75" thickBot="1" x14ac:dyDescent="0.3">
      <c r="A62" s="97">
        <v>59</v>
      </c>
      <c r="B62" s="98" t="s">
        <v>241</v>
      </c>
      <c r="C62" s="98">
        <v>34664</v>
      </c>
      <c r="D62" s="99" t="s">
        <v>311</v>
      </c>
      <c r="E62" s="98" t="s">
        <v>276</v>
      </c>
      <c r="F62" s="98">
        <v>12</v>
      </c>
      <c r="G62" s="100">
        <v>46.3</v>
      </c>
      <c r="H62" s="101">
        <f t="shared" si="0"/>
        <v>555.59999999999991</v>
      </c>
    </row>
    <row r="63" spans="1:8" ht="24.75" thickBot="1" x14ac:dyDescent="0.3">
      <c r="A63" s="97">
        <v>60</v>
      </c>
      <c r="B63" s="98" t="s">
        <v>241</v>
      </c>
      <c r="C63" s="98">
        <v>34665</v>
      </c>
      <c r="D63" s="99" t="s">
        <v>312</v>
      </c>
      <c r="E63" s="98" t="s">
        <v>276</v>
      </c>
      <c r="F63" s="98">
        <v>10</v>
      </c>
      <c r="G63" s="100">
        <v>57.48</v>
      </c>
      <c r="H63" s="101">
        <f t="shared" si="0"/>
        <v>574.79999999999995</v>
      </c>
    </row>
    <row r="64" spans="1:8" ht="15.75" thickBot="1" x14ac:dyDescent="0.3">
      <c r="A64" s="97">
        <v>61</v>
      </c>
      <c r="B64" s="98" t="s">
        <v>241</v>
      </c>
      <c r="C64" s="98">
        <v>1380</v>
      </c>
      <c r="D64" s="99" t="s">
        <v>313</v>
      </c>
      <c r="E64" s="98" t="s">
        <v>243</v>
      </c>
      <c r="F64" s="98">
        <v>40</v>
      </c>
      <c r="G64" s="100">
        <v>5.48</v>
      </c>
      <c r="H64" s="101">
        <f t="shared" si="0"/>
        <v>219.20000000000002</v>
      </c>
    </row>
    <row r="65" spans="1:8" ht="15.75" thickBot="1" x14ac:dyDescent="0.3">
      <c r="A65" s="97">
        <v>62</v>
      </c>
      <c r="B65" s="98" t="s">
        <v>241</v>
      </c>
      <c r="C65" s="98">
        <v>1379</v>
      </c>
      <c r="D65" s="99" t="s">
        <v>314</v>
      </c>
      <c r="E65" s="98" t="s">
        <v>243</v>
      </c>
      <c r="F65" s="98">
        <v>1000</v>
      </c>
      <c r="G65" s="100">
        <v>0.82</v>
      </c>
      <c r="H65" s="101">
        <f t="shared" si="0"/>
        <v>820</v>
      </c>
    </row>
    <row r="66" spans="1:8" ht="24.75" thickBot="1" x14ac:dyDescent="0.3">
      <c r="A66" s="97">
        <v>63</v>
      </c>
      <c r="B66" s="98" t="s">
        <v>241</v>
      </c>
      <c r="C66" s="98">
        <v>44528</v>
      </c>
      <c r="D66" s="99" t="s">
        <v>315</v>
      </c>
      <c r="E66" s="98" t="s">
        <v>243</v>
      </c>
      <c r="F66" s="98">
        <v>75</v>
      </c>
      <c r="G66" s="100">
        <v>4.37</v>
      </c>
      <c r="H66" s="101">
        <f t="shared" si="0"/>
        <v>327.75</v>
      </c>
    </row>
    <row r="67" spans="1:8" ht="24.75" thickBot="1" x14ac:dyDescent="0.3">
      <c r="A67" s="97">
        <v>64</v>
      </c>
      <c r="B67" s="98" t="s">
        <v>241</v>
      </c>
      <c r="C67" s="98">
        <v>1339</v>
      </c>
      <c r="D67" s="99" t="s">
        <v>316</v>
      </c>
      <c r="E67" s="98" t="s">
        <v>243</v>
      </c>
      <c r="F67" s="98">
        <v>10</v>
      </c>
      <c r="G67" s="100">
        <v>72.11</v>
      </c>
      <c r="H67" s="101">
        <f t="shared" si="0"/>
        <v>721.1</v>
      </c>
    </row>
    <row r="68" spans="1:8" ht="15.75" thickBot="1" x14ac:dyDescent="0.3">
      <c r="A68" s="97">
        <v>65</v>
      </c>
      <c r="B68" s="98" t="s">
        <v>241</v>
      </c>
      <c r="C68" s="98">
        <v>44396</v>
      </c>
      <c r="D68" s="99" t="s">
        <v>317</v>
      </c>
      <c r="E68" s="98" t="s">
        <v>243</v>
      </c>
      <c r="F68" s="98">
        <v>10</v>
      </c>
      <c r="G68" s="100">
        <v>23.05</v>
      </c>
      <c r="H68" s="101">
        <f t="shared" si="0"/>
        <v>230.5</v>
      </c>
    </row>
    <row r="69" spans="1:8" ht="15.75" thickBot="1" x14ac:dyDescent="0.3">
      <c r="A69" s="97">
        <v>66</v>
      </c>
      <c r="B69" s="98" t="s">
        <v>241</v>
      </c>
      <c r="C69" s="98">
        <v>4791</v>
      </c>
      <c r="D69" s="99" t="s">
        <v>318</v>
      </c>
      <c r="E69" s="98" t="s">
        <v>243</v>
      </c>
      <c r="F69" s="98">
        <v>15</v>
      </c>
      <c r="G69" s="100">
        <v>25.5</v>
      </c>
      <c r="H69" s="101">
        <f t="shared" ref="H69:H132" si="1">G69*F69</f>
        <v>382.5</v>
      </c>
    </row>
    <row r="70" spans="1:8" ht="36.75" thickBot="1" x14ac:dyDescent="0.3">
      <c r="A70" s="97">
        <v>67</v>
      </c>
      <c r="B70" s="98" t="s">
        <v>241</v>
      </c>
      <c r="C70" s="98">
        <v>39413</v>
      </c>
      <c r="D70" s="99" t="s">
        <v>319</v>
      </c>
      <c r="E70" s="98" t="s">
        <v>276</v>
      </c>
      <c r="F70" s="98">
        <v>10</v>
      </c>
      <c r="G70" s="100">
        <v>24.85</v>
      </c>
      <c r="H70" s="101">
        <f t="shared" si="1"/>
        <v>248.5</v>
      </c>
    </row>
    <row r="71" spans="1:8" ht="48.75" thickBot="1" x14ac:dyDescent="0.3">
      <c r="A71" s="97">
        <v>68</v>
      </c>
      <c r="B71" s="98" t="s">
        <v>241</v>
      </c>
      <c r="C71" s="98">
        <v>2432</v>
      </c>
      <c r="D71" s="99" t="s">
        <v>320</v>
      </c>
      <c r="E71" s="98" t="s">
        <v>286</v>
      </c>
      <c r="F71" s="98">
        <v>2</v>
      </c>
      <c r="G71" s="100">
        <v>20.48</v>
      </c>
      <c r="H71" s="101">
        <f t="shared" si="1"/>
        <v>40.96</v>
      </c>
    </row>
    <row r="72" spans="1:8" ht="48.75" thickBot="1" x14ac:dyDescent="0.3">
      <c r="A72" s="97">
        <v>69</v>
      </c>
      <c r="B72" s="98" t="s">
        <v>241</v>
      </c>
      <c r="C72" s="98">
        <v>2433</v>
      </c>
      <c r="D72" s="99" t="s">
        <v>321</v>
      </c>
      <c r="E72" s="98" t="s">
        <v>286</v>
      </c>
      <c r="F72" s="98">
        <v>2</v>
      </c>
      <c r="G72" s="100">
        <v>6.93</v>
      </c>
      <c r="H72" s="101">
        <f t="shared" si="1"/>
        <v>13.86</v>
      </c>
    </row>
    <row r="73" spans="1:8" ht="36.75" thickBot="1" x14ac:dyDescent="0.3">
      <c r="A73" s="97">
        <v>70</v>
      </c>
      <c r="B73" s="98" t="s">
        <v>241</v>
      </c>
      <c r="C73" s="98">
        <v>2420</v>
      </c>
      <c r="D73" s="99" t="s">
        <v>322</v>
      </c>
      <c r="E73" s="98" t="s">
        <v>286</v>
      </c>
      <c r="F73" s="98">
        <v>2</v>
      </c>
      <c r="G73" s="100">
        <v>11.91</v>
      </c>
      <c r="H73" s="101">
        <f t="shared" si="1"/>
        <v>23.82</v>
      </c>
    </row>
    <row r="74" spans="1:8" ht="36.75" thickBot="1" x14ac:dyDescent="0.3">
      <c r="A74" s="97">
        <v>71</v>
      </c>
      <c r="B74" s="98" t="s">
        <v>241</v>
      </c>
      <c r="C74" s="98">
        <v>11447</v>
      </c>
      <c r="D74" s="99" t="s">
        <v>323</v>
      </c>
      <c r="E74" s="98" t="s">
        <v>286</v>
      </c>
      <c r="F74" s="98">
        <v>2</v>
      </c>
      <c r="G74" s="100">
        <v>23.54</v>
      </c>
      <c r="H74" s="101">
        <f t="shared" si="1"/>
        <v>47.08</v>
      </c>
    </row>
    <row r="75" spans="1:8" ht="36.75" thickBot="1" x14ac:dyDescent="0.3">
      <c r="A75" s="97">
        <v>72</v>
      </c>
      <c r="B75" s="98" t="s">
        <v>241</v>
      </c>
      <c r="C75" s="98">
        <v>11451</v>
      </c>
      <c r="D75" s="102" t="s">
        <v>324</v>
      </c>
      <c r="E75" s="98" t="s">
        <v>286</v>
      </c>
      <c r="F75" s="98">
        <v>2</v>
      </c>
      <c r="G75" s="100">
        <v>63.12</v>
      </c>
      <c r="H75" s="101">
        <f t="shared" si="1"/>
        <v>126.24</v>
      </c>
    </row>
    <row r="76" spans="1:8" ht="24.75" thickBot="1" x14ac:dyDescent="0.3">
      <c r="A76" s="97">
        <v>73</v>
      </c>
      <c r="B76" s="98" t="s">
        <v>241</v>
      </c>
      <c r="C76" s="98">
        <v>11002</v>
      </c>
      <c r="D76" s="102" t="s">
        <v>325</v>
      </c>
      <c r="E76" s="98" t="s">
        <v>243</v>
      </c>
      <c r="F76" s="98">
        <v>10</v>
      </c>
      <c r="G76" s="100">
        <v>34.369999999999997</v>
      </c>
      <c r="H76" s="101">
        <f t="shared" si="1"/>
        <v>343.7</v>
      </c>
    </row>
    <row r="77" spans="1:8" ht="24.75" thickBot="1" x14ac:dyDescent="0.3">
      <c r="A77" s="97">
        <v>74</v>
      </c>
      <c r="B77" s="98" t="s">
        <v>241</v>
      </c>
      <c r="C77" s="98">
        <v>10998</v>
      </c>
      <c r="D77" s="102" t="s">
        <v>326</v>
      </c>
      <c r="E77" s="98" t="s">
        <v>243</v>
      </c>
      <c r="F77" s="98">
        <v>10</v>
      </c>
      <c r="G77" s="100">
        <v>37.51</v>
      </c>
      <c r="H77" s="101">
        <f t="shared" si="1"/>
        <v>375.09999999999997</v>
      </c>
    </row>
    <row r="78" spans="1:8" ht="36.75" thickBot="1" x14ac:dyDescent="0.3">
      <c r="A78" s="97">
        <v>75</v>
      </c>
      <c r="B78" s="98" t="s">
        <v>241</v>
      </c>
      <c r="C78" s="98">
        <v>44538</v>
      </c>
      <c r="D78" s="102" t="s">
        <v>327</v>
      </c>
      <c r="E78" s="98" t="s">
        <v>286</v>
      </c>
      <c r="F78" s="98">
        <v>10</v>
      </c>
      <c r="G78" s="100">
        <v>93.56</v>
      </c>
      <c r="H78" s="101">
        <f t="shared" si="1"/>
        <v>935.6</v>
      </c>
    </row>
    <row r="79" spans="1:8" ht="24.75" thickBot="1" x14ac:dyDescent="0.3">
      <c r="A79" s="97">
        <v>76</v>
      </c>
      <c r="B79" s="98" t="s">
        <v>241</v>
      </c>
      <c r="C79" s="116" t="s">
        <v>328</v>
      </c>
      <c r="D79" s="102" t="s">
        <v>329</v>
      </c>
      <c r="E79" s="98" t="s">
        <v>286</v>
      </c>
      <c r="F79" s="98">
        <v>10</v>
      </c>
      <c r="G79" s="100">
        <v>19.89</v>
      </c>
      <c r="H79" s="101">
        <f t="shared" si="1"/>
        <v>198.9</v>
      </c>
    </row>
    <row r="80" spans="1:8" ht="15.75" thickBot="1" x14ac:dyDescent="0.3">
      <c r="A80" s="97">
        <v>77</v>
      </c>
      <c r="B80" s="98" t="s">
        <v>241</v>
      </c>
      <c r="C80" s="98">
        <v>11186</v>
      </c>
      <c r="D80" s="102" t="s">
        <v>330</v>
      </c>
      <c r="E80" s="98" t="s">
        <v>331</v>
      </c>
      <c r="F80" s="98">
        <v>4</v>
      </c>
      <c r="G80" s="100">
        <v>516</v>
      </c>
      <c r="H80" s="101">
        <f t="shared" si="1"/>
        <v>2064</v>
      </c>
    </row>
    <row r="81" spans="1:8" ht="15.75" thickBot="1" x14ac:dyDescent="0.3">
      <c r="A81" s="97">
        <v>78</v>
      </c>
      <c r="B81" s="98" t="s">
        <v>241</v>
      </c>
      <c r="C81" s="116" t="s">
        <v>332</v>
      </c>
      <c r="D81" s="102" t="s">
        <v>333</v>
      </c>
      <c r="E81" s="98" t="s">
        <v>243</v>
      </c>
      <c r="F81" s="98">
        <v>10</v>
      </c>
      <c r="G81" s="100">
        <v>30.62</v>
      </c>
      <c r="H81" s="101">
        <f t="shared" si="1"/>
        <v>306.2</v>
      </c>
    </row>
    <row r="82" spans="1:8" ht="72.75" thickBot="1" x14ac:dyDescent="0.3">
      <c r="A82" s="97">
        <v>79</v>
      </c>
      <c r="B82" s="98" t="s">
        <v>241</v>
      </c>
      <c r="C82" s="116" t="s">
        <v>334</v>
      </c>
      <c r="D82" s="102" t="s">
        <v>335</v>
      </c>
      <c r="E82" s="98" t="s">
        <v>336</v>
      </c>
      <c r="F82" s="98">
        <v>5</v>
      </c>
      <c r="G82" s="100">
        <v>70.39</v>
      </c>
      <c r="H82" s="101">
        <f t="shared" si="1"/>
        <v>351.95</v>
      </c>
    </row>
    <row r="83" spans="1:8" ht="60.75" thickBot="1" x14ac:dyDescent="0.3">
      <c r="A83" s="97">
        <v>80</v>
      </c>
      <c r="B83" s="98" t="s">
        <v>241</v>
      </c>
      <c r="C83" s="116" t="s">
        <v>337</v>
      </c>
      <c r="D83" s="102" t="s">
        <v>338</v>
      </c>
      <c r="E83" s="98" t="s">
        <v>336</v>
      </c>
      <c r="F83" s="98">
        <v>5</v>
      </c>
      <c r="G83" s="100">
        <v>124.38</v>
      </c>
      <c r="H83" s="101">
        <f t="shared" si="1"/>
        <v>621.9</v>
      </c>
    </row>
    <row r="84" spans="1:8" ht="72.75" thickBot="1" x14ac:dyDescent="0.3">
      <c r="A84" s="97">
        <v>81</v>
      </c>
      <c r="B84" s="98" t="s">
        <v>241</v>
      </c>
      <c r="C84" s="116" t="s">
        <v>339</v>
      </c>
      <c r="D84" s="102" t="s">
        <v>340</v>
      </c>
      <c r="E84" s="98" t="s">
        <v>336</v>
      </c>
      <c r="F84" s="98">
        <v>10</v>
      </c>
      <c r="G84" s="100">
        <v>56.11</v>
      </c>
      <c r="H84" s="101">
        <f t="shared" si="1"/>
        <v>561.1</v>
      </c>
    </row>
    <row r="85" spans="1:8" ht="15.75" thickBot="1" x14ac:dyDescent="0.3">
      <c r="A85" s="97">
        <v>82</v>
      </c>
      <c r="B85" s="98" t="s">
        <v>241</v>
      </c>
      <c r="C85" s="98">
        <v>12815</v>
      </c>
      <c r="D85" s="99" t="s">
        <v>341</v>
      </c>
      <c r="E85" s="98" t="s">
        <v>286</v>
      </c>
      <c r="F85" s="98">
        <v>30</v>
      </c>
      <c r="G85" s="100">
        <v>11.06</v>
      </c>
      <c r="H85" s="101">
        <f t="shared" si="1"/>
        <v>331.8</v>
      </c>
    </row>
    <row r="86" spans="1:8" ht="36.75" thickBot="1" x14ac:dyDescent="0.3">
      <c r="A86" s="97">
        <v>83</v>
      </c>
      <c r="B86" s="98" t="s">
        <v>241</v>
      </c>
      <c r="C86" s="98">
        <v>14153</v>
      </c>
      <c r="D86" s="99" t="s">
        <v>342</v>
      </c>
      <c r="E86" s="98" t="s">
        <v>286</v>
      </c>
      <c r="F86" s="98">
        <v>10</v>
      </c>
      <c r="G86" s="100">
        <v>60.18</v>
      </c>
      <c r="H86" s="101">
        <f t="shared" si="1"/>
        <v>601.79999999999995</v>
      </c>
    </row>
    <row r="87" spans="1:8" ht="60.75" thickBot="1" x14ac:dyDescent="0.3">
      <c r="A87" s="97">
        <v>84</v>
      </c>
      <c r="B87" s="98" t="s">
        <v>241</v>
      </c>
      <c r="C87" s="98">
        <v>39512</v>
      </c>
      <c r="D87" s="99" t="s">
        <v>343</v>
      </c>
      <c r="E87" s="98" t="s">
        <v>331</v>
      </c>
      <c r="F87" s="98">
        <v>20</v>
      </c>
      <c r="G87" s="100">
        <v>123.06</v>
      </c>
      <c r="H87" s="101">
        <f t="shared" si="1"/>
        <v>2461.1999999999998</v>
      </c>
    </row>
    <row r="88" spans="1:8" ht="60.75" thickBot="1" x14ac:dyDescent="0.3">
      <c r="A88" s="97">
        <v>85</v>
      </c>
      <c r="B88" s="98" t="s">
        <v>241</v>
      </c>
      <c r="C88" s="98">
        <v>39511</v>
      </c>
      <c r="D88" s="99" t="s">
        <v>344</v>
      </c>
      <c r="E88" s="98" t="s">
        <v>331</v>
      </c>
      <c r="F88" s="98">
        <v>20</v>
      </c>
      <c r="G88" s="100">
        <v>134.22999999999999</v>
      </c>
      <c r="H88" s="101">
        <f t="shared" si="1"/>
        <v>2684.6</v>
      </c>
    </row>
    <row r="89" spans="1:8" ht="60.75" thickBot="1" x14ac:dyDescent="0.3">
      <c r="A89" s="97">
        <v>86</v>
      </c>
      <c r="B89" s="98" t="s">
        <v>241</v>
      </c>
      <c r="C89" s="98">
        <v>39513</v>
      </c>
      <c r="D89" s="99" t="s">
        <v>345</v>
      </c>
      <c r="E89" s="98" t="s">
        <v>331</v>
      </c>
      <c r="F89" s="98">
        <v>50</v>
      </c>
      <c r="G89" s="100">
        <v>143.97</v>
      </c>
      <c r="H89" s="101">
        <f t="shared" si="1"/>
        <v>7198.5</v>
      </c>
    </row>
    <row r="90" spans="1:8" ht="24.75" thickBot="1" x14ac:dyDescent="0.3">
      <c r="A90" s="97">
        <v>87</v>
      </c>
      <c r="B90" s="98" t="s">
        <v>241</v>
      </c>
      <c r="C90" s="98">
        <v>7307</v>
      </c>
      <c r="D90" s="99" t="s">
        <v>346</v>
      </c>
      <c r="E90" s="98" t="s">
        <v>347</v>
      </c>
      <c r="F90" s="98">
        <v>10</v>
      </c>
      <c r="G90" s="100">
        <v>36.25</v>
      </c>
      <c r="H90" s="101">
        <f t="shared" si="1"/>
        <v>362.5</v>
      </c>
    </row>
    <row r="91" spans="1:8" ht="24.75" thickBot="1" x14ac:dyDescent="0.3">
      <c r="A91" s="97">
        <v>88</v>
      </c>
      <c r="B91" s="98" t="s">
        <v>241</v>
      </c>
      <c r="C91" s="98">
        <v>38122</v>
      </c>
      <c r="D91" s="99" t="s">
        <v>348</v>
      </c>
      <c r="E91" s="98" t="s">
        <v>245</v>
      </c>
      <c r="F91" s="98">
        <v>10</v>
      </c>
      <c r="G91" s="100">
        <v>10.59</v>
      </c>
      <c r="H91" s="101">
        <f t="shared" si="1"/>
        <v>105.9</v>
      </c>
    </row>
    <row r="92" spans="1:8" ht="24.75" thickBot="1" x14ac:dyDescent="0.3">
      <c r="A92" s="97">
        <v>89</v>
      </c>
      <c r="B92" s="98" t="s">
        <v>241</v>
      </c>
      <c r="C92" s="98">
        <v>43653</v>
      </c>
      <c r="D92" s="99" t="s">
        <v>349</v>
      </c>
      <c r="E92" s="98" t="s">
        <v>245</v>
      </c>
      <c r="F92" s="98">
        <v>10</v>
      </c>
      <c r="G92" s="100">
        <v>33.74</v>
      </c>
      <c r="H92" s="101">
        <f t="shared" si="1"/>
        <v>337.40000000000003</v>
      </c>
    </row>
    <row r="93" spans="1:8" ht="24.75" thickBot="1" x14ac:dyDescent="0.3">
      <c r="A93" s="97">
        <v>90</v>
      </c>
      <c r="B93" s="98" t="s">
        <v>241</v>
      </c>
      <c r="C93" s="98">
        <v>3315</v>
      </c>
      <c r="D93" s="99" t="s">
        <v>350</v>
      </c>
      <c r="E93" s="98" t="s">
        <v>243</v>
      </c>
      <c r="F93" s="98">
        <v>100</v>
      </c>
      <c r="G93" s="100">
        <v>0.99</v>
      </c>
      <c r="H93" s="101">
        <f t="shared" si="1"/>
        <v>99</v>
      </c>
    </row>
    <row r="94" spans="1:8" ht="48.75" thickBot="1" x14ac:dyDescent="0.3">
      <c r="A94" s="97">
        <v>91</v>
      </c>
      <c r="B94" s="98" t="s">
        <v>241</v>
      </c>
      <c r="C94" s="98">
        <v>11795</v>
      </c>
      <c r="D94" s="99" t="s">
        <v>351</v>
      </c>
      <c r="E94" s="98" t="s">
        <v>276</v>
      </c>
      <c r="F94" s="98">
        <v>5</v>
      </c>
      <c r="G94" s="100">
        <v>630.94000000000005</v>
      </c>
      <c r="H94" s="101">
        <f t="shared" si="1"/>
        <v>3154.7000000000003</v>
      </c>
    </row>
    <row r="95" spans="1:8" ht="15.75" thickBot="1" x14ac:dyDescent="0.3">
      <c r="A95" s="97">
        <v>92</v>
      </c>
      <c r="B95" s="98" t="s">
        <v>241</v>
      </c>
      <c r="C95" s="98">
        <v>4229</v>
      </c>
      <c r="D95" s="99" t="s">
        <v>352</v>
      </c>
      <c r="E95" s="98" t="s">
        <v>303</v>
      </c>
      <c r="F95" s="98">
        <v>1</v>
      </c>
      <c r="G95" s="100">
        <v>44.76</v>
      </c>
      <c r="H95" s="101">
        <f t="shared" si="1"/>
        <v>44.76</v>
      </c>
    </row>
    <row r="96" spans="1:8" ht="24.75" thickBot="1" x14ac:dyDescent="0.3">
      <c r="A96" s="97">
        <v>93</v>
      </c>
      <c r="B96" s="98" t="s">
        <v>241</v>
      </c>
      <c r="C96" s="98">
        <v>140</v>
      </c>
      <c r="D96" s="99" t="s">
        <v>353</v>
      </c>
      <c r="E96" s="98" t="s">
        <v>243</v>
      </c>
      <c r="F96" s="98">
        <v>30</v>
      </c>
      <c r="G96" s="100">
        <v>20.58</v>
      </c>
      <c r="H96" s="101">
        <f t="shared" si="1"/>
        <v>617.4</v>
      </c>
    </row>
    <row r="97" spans="1:8" ht="36.75" thickBot="1" x14ac:dyDescent="0.3">
      <c r="A97" s="97">
        <v>94</v>
      </c>
      <c r="B97" s="98" t="s">
        <v>241</v>
      </c>
      <c r="C97" s="98">
        <v>151</v>
      </c>
      <c r="D97" s="99" t="s">
        <v>354</v>
      </c>
      <c r="E97" s="98" t="s">
        <v>245</v>
      </c>
      <c r="F97" s="98">
        <v>10</v>
      </c>
      <c r="G97" s="100">
        <v>30.38</v>
      </c>
      <c r="H97" s="101">
        <f t="shared" si="1"/>
        <v>303.8</v>
      </c>
    </row>
    <row r="98" spans="1:8" ht="36.75" thickBot="1" x14ac:dyDescent="0.3">
      <c r="A98" s="97">
        <v>95</v>
      </c>
      <c r="B98" s="98" t="s">
        <v>241</v>
      </c>
      <c r="C98" s="98">
        <v>3672</v>
      </c>
      <c r="D98" s="99" t="s">
        <v>355</v>
      </c>
      <c r="E98" s="98" t="s">
        <v>247</v>
      </c>
      <c r="F98" s="98">
        <v>50</v>
      </c>
      <c r="G98" s="100">
        <v>1.36</v>
      </c>
      <c r="H98" s="101">
        <f t="shared" si="1"/>
        <v>68</v>
      </c>
    </row>
    <row r="99" spans="1:8" ht="36.75" thickBot="1" x14ac:dyDescent="0.3">
      <c r="A99" s="97">
        <v>96</v>
      </c>
      <c r="B99" s="98" t="s">
        <v>241</v>
      </c>
      <c r="C99" s="98">
        <v>3671</v>
      </c>
      <c r="D99" s="99" t="s">
        <v>356</v>
      </c>
      <c r="E99" s="98" t="s">
        <v>247</v>
      </c>
      <c r="F99" s="98">
        <v>50</v>
      </c>
      <c r="G99" s="100">
        <v>1.29</v>
      </c>
      <c r="H99" s="101">
        <f t="shared" si="1"/>
        <v>64.5</v>
      </c>
    </row>
    <row r="100" spans="1:8" ht="36.75" thickBot="1" x14ac:dyDescent="0.3">
      <c r="A100" s="97">
        <v>97</v>
      </c>
      <c r="B100" s="98" t="s">
        <v>241</v>
      </c>
      <c r="C100" s="98">
        <v>3673</v>
      </c>
      <c r="D100" s="99" t="s">
        <v>357</v>
      </c>
      <c r="E100" s="98" t="s">
        <v>247</v>
      </c>
      <c r="F100" s="98">
        <v>50</v>
      </c>
      <c r="G100" s="100">
        <v>2.02</v>
      </c>
      <c r="H100" s="101">
        <f t="shared" si="1"/>
        <v>101</v>
      </c>
    </row>
    <row r="101" spans="1:8" ht="15.75" thickBot="1" x14ac:dyDescent="0.3">
      <c r="A101" s="97">
        <v>98</v>
      </c>
      <c r="B101" s="98" t="s">
        <v>241</v>
      </c>
      <c r="C101" s="98">
        <v>38383</v>
      </c>
      <c r="D101" s="99" t="s">
        <v>358</v>
      </c>
      <c r="E101" s="98" t="s">
        <v>274</v>
      </c>
      <c r="F101" s="98">
        <v>100</v>
      </c>
      <c r="G101" s="100">
        <v>2.7</v>
      </c>
      <c r="H101" s="101">
        <f t="shared" si="1"/>
        <v>270</v>
      </c>
    </row>
    <row r="102" spans="1:8" ht="24.75" thickBot="1" x14ac:dyDescent="0.3">
      <c r="A102" s="97">
        <v>99</v>
      </c>
      <c r="B102" s="98" t="s">
        <v>241</v>
      </c>
      <c r="C102" s="98">
        <v>3768</v>
      </c>
      <c r="D102" s="99" t="s">
        <v>359</v>
      </c>
      <c r="E102" s="98" t="s">
        <v>274</v>
      </c>
      <c r="F102" s="98">
        <v>100</v>
      </c>
      <c r="G102" s="100">
        <v>4.34</v>
      </c>
      <c r="H102" s="101">
        <f t="shared" si="1"/>
        <v>434</v>
      </c>
    </row>
    <row r="103" spans="1:8" ht="24.75" thickBot="1" x14ac:dyDescent="0.3">
      <c r="A103" s="97">
        <v>100</v>
      </c>
      <c r="B103" s="98" t="s">
        <v>241</v>
      </c>
      <c r="C103" s="98">
        <v>3767</v>
      </c>
      <c r="D103" s="99" t="s">
        <v>360</v>
      </c>
      <c r="E103" s="98" t="s">
        <v>274</v>
      </c>
      <c r="F103" s="98">
        <v>100</v>
      </c>
      <c r="G103" s="100">
        <v>1.45</v>
      </c>
      <c r="H103" s="101">
        <f t="shared" si="1"/>
        <v>145</v>
      </c>
    </row>
    <row r="104" spans="1:8" ht="96.75" thickBot="1" x14ac:dyDescent="0.3">
      <c r="A104" s="97">
        <v>101</v>
      </c>
      <c r="B104" s="98" t="s">
        <v>241</v>
      </c>
      <c r="C104" s="98">
        <v>39497</v>
      </c>
      <c r="D104" s="99" t="s">
        <v>361</v>
      </c>
      <c r="E104" s="98" t="s">
        <v>274</v>
      </c>
      <c r="F104" s="98">
        <v>10</v>
      </c>
      <c r="G104" s="100">
        <v>823.67</v>
      </c>
      <c r="H104" s="101">
        <f t="shared" si="1"/>
        <v>8236.6999999999989</v>
      </c>
    </row>
    <row r="105" spans="1:8" ht="15.75" thickBot="1" x14ac:dyDescent="0.3">
      <c r="A105" s="97">
        <v>102</v>
      </c>
      <c r="B105" s="98" t="s">
        <v>241</v>
      </c>
      <c r="C105" s="98">
        <v>3777</v>
      </c>
      <c r="D105" s="99" t="s">
        <v>362</v>
      </c>
      <c r="E105" s="98" t="s">
        <v>276</v>
      </c>
      <c r="F105" s="98">
        <v>60</v>
      </c>
      <c r="G105" s="100">
        <v>2</v>
      </c>
      <c r="H105" s="101">
        <f t="shared" si="1"/>
        <v>120</v>
      </c>
    </row>
    <row r="106" spans="1:8" ht="24.75" thickBot="1" x14ac:dyDescent="0.3">
      <c r="A106" s="97">
        <v>103</v>
      </c>
      <c r="B106" s="98" t="s">
        <v>241</v>
      </c>
      <c r="C106" s="98">
        <v>39696</v>
      </c>
      <c r="D106" s="99" t="s">
        <v>363</v>
      </c>
      <c r="E106" s="98" t="s">
        <v>276</v>
      </c>
      <c r="F106" s="98">
        <v>60</v>
      </c>
      <c r="G106" s="100">
        <v>6.43</v>
      </c>
      <c r="H106" s="101">
        <f t="shared" si="1"/>
        <v>385.79999999999995</v>
      </c>
    </row>
    <row r="107" spans="1:8" ht="24.75" thickBot="1" x14ac:dyDescent="0.3">
      <c r="A107" s="97">
        <v>104</v>
      </c>
      <c r="B107" s="98" t="s">
        <v>241</v>
      </c>
      <c r="C107" s="98">
        <v>43651</v>
      </c>
      <c r="D107" s="99" t="s">
        <v>364</v>
      </c>
      <c r="E107" s="98" t="s">
        <v>243</v>
      </c>
      <c r="F107" s="98">
        <v>20</v>
      </c>
      <c r="G107" s="100">
        <v>6.17</v>
      </c>
      <c r="H107" s="101">
        <f t="shared" si="1"/>
        <v>123.4</v>
      </c>
    </row>
    <row r="108" spans="1:8" ht="24.75" thickBot="1" x14ac:dyDescent="0.3">
      <c r="A108" s="97">
        <v>105</v>
      </c>
      <c r="B108" s="98" t="s">
        <v>241</v>
      </c>
      <c r="C108" s="98">
        <v>43626</v>
      </c>
      <c r="D108" s="99" t="s">
        <v>365</v>
      </c>
      <c r="E108" s="98" t="s">
        <v>243</v>
      </c>
      <c r="F108" s="98">
        <v>2</v>
      </c>
      <c r="G108" s="100">
        <v>3.43</v>
      </c>
      <c r="H108" s="101">
        <f t="shared" si="1"/>
        <v>6.86</v>
      </c>
    </row>
    <row r="109" spans="1:8" ht="24.75" thickBot="1" x14ac:dyDescent="0.3">
      <c r="A109" s="97">
        <v>106</v>
      </c>
      <c r="B109" s="98" t="s">
        <v>241</v>
      </c>
      <c r="C109" s="98">
        <v>4823</v>
      </c>
      <c r="D109" s="99" t="s">
        <v>366</v>
      </c>
      <c r="E109" s="98" t="s">
        <v>243</v>
      </c>
      <c r="F109" s="98">
        <v>2</v>
      </c>
      <c r="G109" s="100">
        <v>38.18</v>
      </c>
      <c r="H109" s="101">
        <f t="shared" si="1"/>
        <v>76.36</v>
      </c>
    </row>
    <row r="110" spans="1:8" ht="24.75" thickBot="1" x14ac:dyDescent="0.3">
      <c r="A110" s="97">
        <v>107</v>
      </c>
      <c r="B110" s="98" t="s">
        <v>241</v>
      </c>
      <c r="C110" s="98">
        <v>38120</v>
      </c>
      <c r="D110" s="99" t="s">
        <v>367</v>
      </c>
      <c r="E110" s="98" t="s">
        <v>243</v>
      </c>
      <c r="F110" s="98">
        <v>2</v>
      </c>
      <c r="G110" s="100">
        <v>145.75</v>
      </c>
      <c r="H110" s="101">
        <f t="shared" si="1"/>
        <v>291.5</v>
      </c>
    </row>
    <row r="111" spans="1:8" ht="24.75" thickBot="1" x14ac:dyDescent="0.3">
      <c r="A111" s="97">
        <v>108</v>
      </c>
      <c r="B111" s="98" t="s">
        <v>241</v>
      </c>
      <c r="C111" s="98">
        <v>38877</v>
      </c>
      <c r="D111" s="99" t="s">
        <v>368</v>
      </c>
      <c r="E111" s="98" t="s">
        <v>243</v>
      </c>
      <c r="F111" s="98">
        <v>10</v>
      </c>
      <c r="G111" s="100">
        <v>6.81</v>
      </c>
      <c r="H111" s="101">
        <f t="shared" si="1"/>
        <v>68.099999999999994</v>
      </c>
    </row>
    <row r="112" spans="1:8" ht="36.75" thickBot="1" x14ac:dyDescent="0.3">
      <c r="A112" s="97">
        <v>109</v>
      </c>
      <c r="B112" s="98" t="s">
        <v>241</v>
      </c>
      <c r="C112" s="98">
        <v>34546</v>
      </c>
      <c r="D112" s="99" t="s">
        <v>369</v>
      </c>
      <c r="E112" s="98" t="s">
        <v>243</v>
      </c>
      <c r="F112" s="98">
        <v>10</v>
      </c>
      <c r="G112" s="100">
        <v>7.01</v>
      </c>
      <c r="H112" s="101">
        <f t="shared" si="1"/>
        <v>70.099999999999994</v>
      </c>
    </row>
    <row r="113" spans="1:8" ht="15.75" thickBot="1" x14ac:dyDescent="0.3">
      <c r="A113" s="97">
        <v>110</v>
      </c>
      <c r="B113" s="98" t="s">
        <v>241</v>
      </c>
      <c r="C113" s="98">
        <v>10498</v>
      </c>
      <c r="D113" s="99" t="s">
        <v>370</v>
      </c>
      <c r="E113" s="98" t="s">
        <v>243</v>
      </c>
      <c r="F113" s="98">
        <v>2</v>
      </c>
      <c r="G113" s="100">
        <v>11.46</v>
      </c>
      <c r="H113" s="101">
        <f t="shared" si="1"/>
        <v>22.92</v>
      </c>
    </row>
    <row r="114" spans="1:8" ht="24.75" thickBot="1" x14ac:dyDescent="0.3">
      <c r="A114" s="97">
        <v>111</v>
      </c>
      <c r="B114" s="98" t="s">
        <v>241</v>
      </c>
      <c r="C114" s="98">
        <v>11561</v>
      </c>
      <c r="D114" s="99" t="s">
        <v>371</v>
      </c>
      <c r="E114" s="98" t="s">
        <v>286</v>
      </c>
      <c r="F114" s="98">
        <v>4</v>
      </c>
      <c r="G114" s="100">
        <v>274.32</v>
      </c>
      <c r="H114" s="101">
        <f t="shared" si="1"/>
        <v>1097.28</v>
      </c>
    </row>
    <row r="115" spans="1:8" ht="24.75" thickBot="1" x14ac:dyDescent="0.3">
      <c r="A115" s="97">
        <v>112</v>
      </c>
      <c r="B115" s="98" t="s">
        <v>241</v>
      </c>
      <c r="C115" s="98">
        <v>11560</v>
      </c>
      <c r="D115" s="99" t="s">
        <v>372</v>
      </c>
      <c r="E115" s="98" t="s">
        <v>286</v>
      </c>
      <c r="F115" s="98">
        <v>4</v>
      </c>
      <c r="G115" s="100">
        <v>211.73</v>
      </c>
      <c r="H115" s="101">
        <f t="shared" si="1"/>
        <v>846.92</v>
      </c>
    </row>
    <row r="116" spans="1:8" ht="36.75" thickBot="1" x14ac:dyDescent="0.3">
      <c r="A116" s="97">
        <v>113</v>
      </c>
      <c r="B116" s="98" t="s">
        <v>241</v>
      </c>
      <c r="C116" s="98">
        <v>11963</v>
      </c>
      <c r="D116" s="99" t="s">
        <v>373</v>
      </c>
      <c r="E116" s="98" t="s">
        <v>286</v>
      </c>
      <c r="F116" s="98">
        <v>100</v>
      </c>
      <c r="G116" s="100">
        <v>10.01</v>
      </c>
      <c r="H116" s="101">
        <f t="shared" si="1"/>
        <v>1001</v>
      </c>
    </row>
    <row r="117" spans="1:8" ht="36.75" thickBot="1" x14ac:dyDescent="0.3">
      <c r="A117" s="97">
        <v>114</v>
      </c>
      <c r="B117" s="98" t="s">
        <v>241</v>
      </c>
      <c r="C117" s="98">
        <v>11964</v>
      </c>
      <c r="D117" s="99" t="s">
        <v>374</v>
      </c>
      <c r="E117" s="98" t="s">
        <v>286</v>
      </c>
      <c r="F117" s="98">
        <v>100</v>
      </c>
      <c r="G117" s="100">
        <v>2.52</v>
      </c>
      <c r="H117" s="101">
        <f t="shared" si="1"/>
        <v>252</v>
      </c>
    </row>
    <row r="118" spans="1:8" ht="36.75" thickBot="1" x14ac:dyDescent="0.3">
      <c r="A118" s="97">
        <v>115</v>
      </c>
      <c r="B118" s="98" t="s">
        <v>241</v>
      </c>
      <c r="C118" s="98">
        <v>13294</v>
      </c>
      <c r="D118" s="99" t="s">
        <v>375</v>
      </c>
      <c r="E118" s="98" t="s">
        <v>286</v>
      </c>
      <c r="F118" s="98">
        <v>100</v>
      </c>
      <c r="G118" s="100">
        <v>1.59</v>
      </c>
      <c r="H118" s="101">
        <f t="shared" si="1"/>
        <v>159</v>
      </c>
    </row>
    <row r="119" spans="1:8" ht="36.75" thickBot="1" x14ac:dyDescent="0.3">
      <c r="A119" s="97">
        <v>116</v>
      </c>
      <c r="B119" s="98" t="s">
        <v>241</v>
      </c>
      <c r="C119" s="98">
        <v>4382</v>
      </c>
      <c r="D119" s="99" t="s">
        <v>376</v>
      </c>
      <c r="E119" s="98" t="s">
        <v>286</v>
      </c>
      <c r="F119" s="98">
        <v>100</v>
      </c>
      <c r="G119" s="100">
        <v>1.19</v>
      </c>
      <c r="H119" s="101">
        <f t="shared" si="1"/>
        <v>119</v>
      </c>
    </row>
    <row r="120" spans="1:8" ht="48.75" thickBot="1" x14ac:dyDescent="0.3">
      <c r="A120" s="97">
        <v>117</v>
      </c>
      <c r="B120" s="98" t="s">
        <v>241</v>
      </c>
      <c r="C120" s="98">
        <v>4377</v>
      </c>
      <c r="D120" s="99" t="s">
        <v>377</v>
      </c>
      <c r="E120" s="98" t="s">
        <v>286</v>
      </c>
      <c r="F120" s="98">
        <v>100</v>
      </c>
      <c r="G120" s="100">
        <v>0.19</v>
      </c>
      <c r="H120" s="101">
        <f t="shared" si="1"/>
        <v>19</v>
      </c>
    </row>
    <row r="121" spans="1:8" ht="36.75" thickBot="1" x14ac:dyDescent="0.3">
      <c r="A121" s="97">
        <v>118</v>
      </c>
      <c r="B121" s="98" t="s">
        <v>241</v>
      </c>
      <c r="C121" s="98">
        <v>11962</v>
      </c>
      <c r="D121" s="99" t="s">
        <v>378</v>
      </c>
      <c r="E121" s="98" t="s">
        <v>286</v>
      </c>
      <c r="F121" s="98">
        <v>100</v>
      </c>
      <c r="G121" s="100">
        <v>0.23</v>
      </c>
      <c r="H121" s="101">
        <f t="shared" si="1"/>
        <v>23</v>
      </c>
    </row>
    <row r="122" spans="1:8" ht="36.75" thickBot="1" x14ac:dyDescent="0.3">
      <c r="A122" s="97">
        <v>119</v>
      </c>
      <c r="B122" s="98" t="s">
        <v>241</v>
      </c>
      <c r="C122" s="98">
        <v>4720</v>
      </c>
      <c r="D122" s="99" t="s">
        <v>379</v>
      </c>
      <c r="E122" s="98" t="s">
        <v>251</v>
      </c>
      <c r="F122" s="98">
        <v>10</v>
      </c>
      <c r="G122" s="100">
        <v>172.27</v>
      </c>
      <c r="H122" s="101">
        <f t="shared" si="1"/>
        <v>1722.7</v>
      </c>
    </row>
    <row r="123" spans="1:8" ht="36.75" thickBot="1" x14ac:dyDescent="0.3">
      <c r="A123" s="97">
        <v>120</v>
      </c>
      <c r="B123" s="98" t="s">
        <v>241</v>
      </c>
      <c r="C123" s="98">
        <v>4721</v>
      </c>
      <c r="D123" s="99" t="s">
        <v>380</v>
      </c>
      <c r="E123" s="98" t="s">
        <v>381</v>
      </c>
      <c r="F123" s="98">
        <v>10</v>
      </c>
      <c r="G123" s="100">
        <v>149.21</v>
      </c>
      <c r="H123" s="101">
        <f t="shared" si="1"/>
        <v>1492.1000000000001</v>
      </c>
    </row>
    <row r="124" spans="1:8" ht="36.75" thickBot="1" x14ac:dyDescent="0.3">
      <c r="A124" s="97">
        <v>121</v>
      </c>
      <c r="B124" s="98" t="s">
        <v>241</v>
      </c>
      <c r="C124" s="98">
        <v>4825</v>
      </c>
      <c r="D124" s="99" t="s">
        <v>382</v>
      </c>
      <c r="E124" s="98" t="s">
        <v>247</v>
      </c>
      <c r="F124" s="98">
        <v>5</v>
      </c>
      <c r="G124" s="100">
        <v>160.79</v>
      </c>
      <c r="H124" s="101">
        <f t="shared" si="1"/>
        <v>803.94999999999993</v>
      </c>
    </row>
    <row r="125" spans="1:8" ht="36.75" thickBot="1" x14ac:dyDescent="0.3">
      <c r="A125" s="97">
        <v>122</v>
      </c>
      <c r="B125" s="98" t="s">
        <v>241</v>
      </c>
      <c r="C125" s="98">
        <v>4786</v>
      </c>
      <c r="D125" s="99" t="s">
        <v>383</v>
      </c>
      <c r="E125" s="98" t="s">
        <v>384</v>
      </c>
      <c r="F125" s="98">
        <v>10</v>
      </c>
      <c r="G125" s="100">
        <v>118.5</v>
      </c>
      <c r="H125" s="101">
        <f t="shared" si="1"/>
        <v>1185</v>
      </c>
    </row>
    <row r="126" spans="1:8" ht="60.75" thickBot="1" x14ac:dyDescent="0.3">
      <c r="A126" s="97">
        <v>123</v>
      </c>
      <c r="B126" s="98" t="s">
        <v>241</v>
      </c>
      <c r="C126" s="98">
        <v>10841</v>
      </c>
      <c r="D126" s="99" t="s">
        <v>385</v>
      </c>
      <c r="E126" s="98" t="s">
        <v>384</v>
      </c>
      <c r="F126" s="98">
        <v>10</v>
      </c>
      <c r="G126" s="100">
        <v>315.47000000000003</v>
      </c>
      <c r="H126" s="101">
        <f t="shared" si="1"/>
        <v>3154.7000000000003</v>
      </c>
    </row>
    <row r="127" spans="1:8" ht="24.75" thickBot="1" x14ac:dyDescent="0.3">
      <c r="A127" s="97">
        <v>124</v>
      </c>
      <c r="B127" s="98" t="s">
        <v>241</v>
      </c>
      <c r="C127" s="98">
        <v>38195</v>
      </c>
      <c r="D127" s="99" t="s">
        <v>386</v>
      </c>
      <c r="E127" s="98" t="s">
        <v>384</v>
      </c>
      <c r="F127" s="98">
        <v>20</v>
      </c>
      <c r="G127" s="100">
        <v>102.36</v>
      </c>
      <c r="H127" s="101">
        <f t="shared" si="1"/>
        <v>2047.2</v>
      </c>
    </row>
    <row r="128" spans="1:8" ht="48.75" thickBot="1" x14ac:dyDescent="0.3">
      <c r="A128" s="97">
        <v>125</v>
      </c>
      <c r="B128" s="98" t="s">
        <v>241</v>
      </c>
      <c r="C128" s="98">
        <v>20078</v>
      </c>
      <c r="D128" s="99" t="s">
        <v>387</v>
      </c>
      <c r="E128" s="98" t="s">
        <v>274</v>
      </c>
      <c r="F128" s="98">
        <v>5</v>
      </c>
      <c r="G128" s="100">
        <v>31.75</v>
      </c>
      <c r="H128" s="101">
        <f t="shared" si="1"/>
        <v>158.75</v>
      </c>
    </row>
    <row r="129" spans="1:8" ht="24.75" thickBot="1" x14ac:dyDescent="0.3">
      <c r="A129" s="97">
        <v>126</v>
      </c>
      <c r="B129" s="98" t="s">
        <v>241</v>
      </c>
      <c r="C129" s="98">
        <v>5065</v>
      </c>
      <c r="D129" s="99" t="s">
        <v>388</v>
      </c>
      <c r="E129" s="98" t="s">
        <v>303</v>
      </c>
      <c r="F129" s="98">
        <v>2</v>
      </c>
      <c r="G129" s="100">
        <v>34.07</v>
      </c>
      <c r="H129" s="101">
        <f t="shared" si="1"/>
        <v>68.14</v>
      </c>
    </row>
    <row r="130" spans="1:8" ht="24.75" thickBot="1" x14ac:dyDescent="0.3">
      <c r="A130" s="97">
        <v>127</v>
      </c>
      <c r="B130" s="98" t="s">
        <v>241</v>
      </c>
      <c r="C130" s="98">
        <v>5072</v>
      </c>
      <c r="D130" s="99" t="s">
        <v>389</v>
      </c>
      <c r="E130" s="98" t="s">
        <v>303</v>
      </c>
      <c r="F130" s="98">
        <v>2</v>
      </c>
      <c r="G130" s="100">
        <v>31.52</v>
      </c>
      <c r="H130" s="101">
        <f t="shared" si="1"/>
        <v>63.04</v>
      </c>
    </row>
    <row r="131" spans="1:8" ht="24.75" thickBot="1" x14ac:dyDescent="0.3">
      <c r="A131" s="97">
        <v>128</v>
      </c>
      <c r="B131" s="98" t="s">
        <v>241</v>
      </c>
      <c r="C131" s="98">
        <v>5066</v>
      </c>
      <c r="D131" s="99" t="s">
        <v>390</v>
      </c>
      <c r="E131" s="98" t="s">
        <v>303</v>
      </c>
      <c r="F131" s="98">
        <v>10</v>
      </c>
      <c r="G131" s="100">
        <v>23.6</v>
      </c>
      <c r="H131" s="101">
        <f t="shared" si="1"/>
        <v>236</v>
      </c>
    </row>
    <row r="132" spans="1:8" ht="24.75" thickBot="1" x14ac:dyDescent="0.3">
      <c r="A132" s="97">
        <v>129</v>
      </c>
      <c r="B132" s="98" t="s">
        <v>241</v>
      </c>
      <c r="C132" s="98">
        <v>5063</v>
      </c>
      <c r="D132" s="99" t="s">
        <v>391</v>
      </c>
      <c r="E132" s="98" t="s">
        <v>303</v>
      </c>
      <c r="F132" s="98">
        <v>2</v>
      </c>
      <c r="G132" s="100">
        <v>21.37</v>
      </c>
      <c r="H132" s="101">
        <f t="shared" si="1"/>
        <v>42.74</v>
      </c>
    </row>
    <row r="133" spans="1:8" ht="24.75" thickBot="1" x14ac:dyDescent="0.3">
      <c r="A133" s="97">
        <v>130</v>
      </c>
      <c r="B133" s="98" t="s">
        <v>241</v>
      </c>
      <c r="C133" s="98">
        <v>20247</v>
      </c>
      <c r="D133" s="99" t="s">
        <v>392</v>
      </c>
      <c r="E133" s="98" t="s">
        <v>303</v>
      </c>
      <c r="F133" s="98">
        <v>2</v>
      </c>
      <c r="G133" s="100">
        <v>19.829999999999998</v>
      </c>
      <c r="H133" s="101">
        <f t="shared" ref="H133:H194" si="2">G133*F133</f>
        <v>39.659999999999997</v>
      </c>
    </row>
    <row r="134" spans="1:8" ht="24.75" thickBot="1" x14ac:dyDescent="0.3">
      <c r="A134" s="97">
        <v>131</v>
      </c>
      <c r="B134" s="98" t="s">
        <v>241</v>
      </c>
      <c r="C134" s="98">
        <v>5074</v>
      </c>
      <c r="D134" s="99" t="s">
        <v>393</v>
      </c>
      <c r="E134" s="98" t="s">
        <v>303</v>
      </c>
      <c r="F134" s="98">
        <v>2</v>
      </c>
      <c r="G134" s="100">
        <v>20.07</v>
      </c>
      <c r="H134" s="101">
        <f t="shared" si="2"/>
        <v>40.14</v>
      </c>
    </row>
    <row r="135" spans="1:8" ht="24.75" thickBot="1" x14ac:dyDescent="0.3">
      <c r="A135" s="97">
        <v>132</v>
      </c>
      <c r="B135" s="98" t="s">
        <v>241</v>
      </c>
      <c r="C135" s="98">
        <v>5067</v>
      </c>
      <c r="D135" s="99" t="s">
        <v>394</v>
      </c>
      <c r="E135" s="98" t="s">
        <v>303</v>
      </c>
      <c r="F135" s="98">
        <v>2</v>
      </c>
      <c r="G135" s="100">
        <v>19.09</v>
      </c>
      <c r="H135" s="101">
        <f t="shared" si="2"/>
        <v>38.18</v>
      </c>
    </row>
    <row r="136" spans="1:8" ht="24.75" thickBot="1" x14ac:dyDescent="0.3">
      <c r="A136" s="97">
        <v>133</v>
      </c>
      <c r="B136" s="98" t="s">
        <v>241</v>
      </c>
      <c r="C136" s="98">
        <v>5078</v>
      </c>
      <c r="D136" s="99" t="s">
        <v>395</v>
      </c>
      <c r="E136" s="98" t="s">
        <v>303</v>
      </c>
      <c r="F136" s="98">
        <v>2</v>
      </c>
      <c r="G136" s="100">
        <v>18.87</v>
      </c>
      <c r="H136" s="101">
        <f t="shared" si="2"/>
        <v>37.74</v>
      </c>
    </row>
    <row r="137" spans="1:8" ht="24.75" thickBot="1" x14ac:dyDescent="0.3">
      <c r="A137" s="97">
        <v>134</v>
      </c>
      <c r="B137" s="98" t="s">
        <v>241</v>
      </c>
      <c r="C137" s="98">
        <v>5068</v>
      </c>
      <c r="D137" s="99" t="s">
        <v>396</v>
      </c>
      <c r="E137" s="98" t="s">
        <v>303</v>
      </c>
      <c r="F137" s="98">
        <v>10</v>
      </c>
      <c r="G137" s="100">
        <v>17.91</v>
      </c>
      <c r="H137" s="101">
        <f t="shared" si="2"/>
        <v>179.1</v>
      </c>
    </row>
    <row r="138" spans="1:8" ht="24.75" thickBot="1" x14ac:dyDescent="0.3">
      <c r="A138" s="97">
        <v>135</v>
      </c>
      <c r="B138" s="98" t="s">
        <v>241</v>
      </c>
      <c r="C138" s="98">
        <v>5073</v>
      </c>
      <c r="D138" s="99" t="s">
        <v>397</v>
      </c>
      <c r="E138" s="98" t="s">
        <v>303</v>
      </c>
      <c r="F138" s="98">
        <v>2</v>
      </c>
      <c r="G138" s="100">
        <v>18.260000000000002</v>
      </c>
      <c r="H138" s="101">
        <f t="shared" si="2"/>
        <v>36.520000000000003</v>
      </c>
    </row>
    <row r="139" spans="1:8" ht="24.75" thickBot="1" x14ac:dyDescent="0.3">
      <c r="A139" s="97">
        <v>136</v>
      </c>
      <c r="B139" s="98" t="s">
        <v>241</v>
      </c>
      <c r="C139" s="98">
        <v>5069</v>
      </c>
      <c r="D139" s="99" t="s">
        <v>398</v>
      </c>
      <c r="E139" s="98" t="s">
        <v>303</v>
      </c>
      <c r="F139" s="98">
        <v>10</v>
      </c>
      <c r="G139" s="100">
        <v>18.260000000000002</v>
      </c>
      <c r="H139" s="101">
        <f t="shared" si="2"/>
        <v>182.60000000000002</v>
      </c>
    </row>
    <row r="140" spans="1:8" ht="24.75" thickBot="1" x14ac:dyDescent="0.3">
      <c r="A140" s="97">
        <v>137</v>
      </c>
      <c r="B140" s="98" t="s">
        <v>241</v>
      </c>
      <c r="C140" s="98">
        <v>5070</v>
      </c>
      <c r="D140" s="99" t="s">
        <v>399</v>
      </c>
      <c r="E140" s="98" t="s">
        <v>303</v>
      </c>
      <c r="F140" s="98">
        <v>2</v>
      </c>
      <c r="G140" s="100">
        <v>18.46</v>
      </c>
      <c r="H140" s="101">
        <f t="shared" si="2"/>
        <v>36.92</v>
      </c>
    </row>
    <row r="141" spans="1:8" ht="24.75" thickBot="1" x14ac:dyDescent="0.3">
      <c r="A141" s="97">
        <v>138</v>
      </c>
      <c r="B141" s="98" t="s">
        <v>241</v>
      </c>
      <c r="C141" s="98">
        <v>5071</v>
      </c>
      <c r="D141" s="99" t="s">
        <v>400</v>
      </c>
      <c r="E141" s="98" t="s">
        <v>303</v>
      </c>
      <c r="F141" s="98">
        <v>2</v>
      </c>
      <c r="G141" s="100">
        <v>17.91</v>
      </c>
      <c r="H141" s="101">
        <f t="shared" si="2"/>
        <v>35.82</v>
      </c>
    </row>
    <row r="142" spans="1:8" ht="24.75" thickBot="1" x14ac:dyDescent="0.3">
      <c r="A142" s="97">
        <v>139</v>
      </c>
      <c r="B142" s="98" t="s">
        <v>241</v>
      </c>
      <c r="C142" s="98">
        <v>5061</v>
      </c>
      <c r="D142" s="99" t="s">
        <v>401</v>
      </c>
      <c r="E142" s="98" t="s">
        <v>303</v>
      </c>
      <c r="F142" s="98">
        <v>2</v>
      </c>
      <c r="G142" s="100">
        <v>17.61</v>
      </c>
      <c r="H142" s="101">
        <f t="shared" si="2"/>
        <v>35.22</v>
      </c>
    </row>
    <row r="143" spans="1:8" ht="24.75" thickBot="1" x14ac:dyDescent="0.3">
      <c r="A143" s="97">
        <v>140</v>
      </c>
      <c r="B143" s="98" t="s">
        <v>241</v>
      </c>
      <c r="C143" s="98">
        <v>5075</v>
      </c>
      <c r="D143" s="99" t="s">
        <v>402</v>
      </c>
      <c r="E143" s="98" t="s">
        <v>303</v>
      </c>
      <c r="F143" s="98">
        <v>10</v>
      </c>
      <c r="G143" s="100">
        <v>17.91</v>
      </c>
      <c r="H143" s="101">
        <f t="shared" si="2"/>
        <v>179.1</v>
      </c>
    </row>
    <row r="144" spans="1:8" ht="24.75" thickBot="1" x14ac:dyDescent="0.3">
      <c r="A144" s="97">
        <v>141</v>
      </c>
      <c r="B144" s="98" t="s">
        <v>241</v>
      </c>
      <c r="C144" s="98">
        <v>39027</v>
      </c>
      <c r="D144" s="99" t="s">
        <v>403</v>
      </c>
      <c r="E144" s="98" t="s">
        <v>303</v>
      </c>
      <c r="F144" s="98">
        <v>2</v>
      </c>
      <c r="G144" s="100">
        <v>17.89</v>
      </c>
      <c r="H144" s="101">
        <f t="shared" si="2"/>
        <v>35.78</v>
      </c>
    </row>
    <row r="145" spans="1:8" ht="24.75" thickBot="1" x14ac:dyDescent="0.3">
      <c r="A145" s="97">
        <v>142</v>
      </c>
      <c r="B145" s="98" t="s">
        <v>241</v>
      </c>
      <c r="C145" s="98">
        <v>5062</v>
      </c>
      <c r="D145" s="99" t="s">
        <v>404</v>
      </c>
      <c r="E145" s="98" t="s">
        <v>303</v>
      </c>
      <c r="F145" s="98">
        <v>2</v>
      </c>
      <c r="G145" s="100">
        <v>18.149999999999999</v>
      </c>
      <c r="H145" s="101">
        <f t="shared" si="2"/>
        <v>36.299999999999997</v>
      </c>
    </row>
    <row r="146" spans="1:8" ht="24.75" thickBot="1" x14ac:dyDescent="0.3">
      <c r="A146" s="97">
        <v>143</v>
      </c>
      <c r="B146" s="98" t="s">
        <v>241</v>
      </c>
      <c r="C146" s="98">
        <v>40568</v>
      </c>
      <c r="D146" s="99" t="s">
        <v>405</v>
      </c>
      <c r="E146" s="98" t="s">
        <v>303</v>
      </c>
      <c r="F146" s="98">
        <v>2</v>
      </c>
      <c r="G146" s="100">
        <v>18.05</v>
      </c>
      <c r="H146" s="101">
        <f t="shared" si="2"/>
        <v>36.1</v>
      </c>
    </row>
    <row r="147" spans="1:8" ht="24.75" thickBot="1" x14ac:dyDescent="0.3">
      <c r="A147" s="97">
        <v>144</v>
      </c>
      <c r="B147" s="98" t="s">
        <v>241</v>
      </c>
      <c r="C147" s="98">
        <v>40304</v>
      </c>
      <c r="D147" s="99" t="s">
        <v>406</v>
      </c>
      <c r="E147" s="98" t="s">
        <v>303</v>
      </c>
      <c r="F147" s="98">
        <v>2</v>
      </c>
      <c r="G147" s="100">
        <v>22.11</v>
      </c>
      <c r="H147" s="101">
        <f t="shared" si="2"/>
        <v>44.22</v>
      </c>
    </row>
    <row r="148" spans="1:8" ht="24.75" thickBot="1" x14ac:dyDescent="0.3">
      <c r="A148" s="97">
        <v>145</v>
      </c>
      <c r="B148" s="98" t="s">
        <v>241</v>
      </c>
      <c r="C148" s="98">
        <v>39026</v>
      </c>
      <c r="D148" s="99" t="s">
        <v>407</v>
      </c>
      <c r="E148" s="98" t="s">
        <v>303</v>
      </c>
      <c r="F148" s="98">
        <v>2</v>
      </c>
      <c r="G148" s="100">
        <v>20.14</v>
      </c>
      <c r="H148" s="101">
        <f t="shared" si="2"/>
        <v>40.28</v>
      </c>
    </row>
    <row r="149" spans="1:8" ht="36.75" thickBot="1" x14ac:dyDescent="0.3">
      <c r="A149" s="97">
        <v>146</v>
      </c>
      <c r="B149" s="98" t="s">
        <v>241</v>
      </c>
      <c r="C149" s="98">
        <v>5104</v>
      </c>
      <c r="D149" s="99" t="s">
        <v>408</v>
      </c>
      <c r="E149" s="98" t="s">
        <v>243</v>
      </c>
      <c r="F149" s="98">
        <v>10</v>
      </c>
      <c r="G149" s="100">
        <v>67.63</v>
      </c>
      <c r="H149" s="101">
        <f t="shared" si="2"/>
        <v>676.3</v>
      </c>
    </row>
    <row r="150" spans="1:8" ht="15.75" thickBot="1" x14ac:dyDescent="0.3">
      <c r="A150" s="97">
        <v>147</v>
      </c>
      <c r="B150" s="98" t="s">
        <v>241</v>
      </c>
      <c r="C150" s="98">
        <v>34357</v>
      </c>
      <c r="D150" s="99" t="s">
        <v>409</v>
      </c>
      <c r="E150" s="98" t="s">
        <v>243</v>
      </c>
      <c r="F150" s="98">
        <v>10</v>
      </c>
      <c r="G150" s="100">
        <v>7.04</v>
      </c>
      <c r="H150" s="101">
        <f t="shared" si="2"/>
        <v>70.400000000000006</v>
      </c>
    </row>
    <row r="151" spans="1:8" ht="15.75" thickBot="1" x14ac:dyDescent="0.3">
      <c r="A151" s="97">
        <v>148</v>
      </c>
      <c r="B151" s="98" t="s">
        <v>241</v>
      </c>
      <c r="C151" s="98">
        <v>37329</v>
      </c>
      <c r="D151" s="99" t="s">
        <v>410</v>
      </c>
      <c r="E151" s="98" t="s">
        <v>243</v>
      </c>
      <c r="F151" s="98">
        <v>2</v>
      </c>
      <c r="G151" s="100">
        <v>148.4</v>
      </c>
      <c r="H151" s="101">
        <f t="shared" si="2"/>
        <v>296.8</v>
      </c>
    </row>
    <row r="152" spans="1:8" ht="48.75" thickBot="1" x14ac:dyDescent="0.3">
      <c r="A152" s="97">
        <v>149</v>
      </c>
      <c r="B152" s="98" t="s">
        <v>241</v>
      </c>
      <c r="C152" s="98">
        <v>536</v>
      </c>
      <c r="D152" s="99" t="s">
        <v>411</v>
      </c>
      <c r="E152" s="103" t="s">
        <v>331</v>
      </c>
      <c r="F152" s="98">
        <v>20</v>
      </c>
      <c r="G152" s="100">
        <v>33.659999999999997</v>
      </c>
      <c r="H152" s="101">
        <f t="shared" si="2"/>
        <v>673.19999999999993</v>
      </c>
    </row>
    <row r="153" spans="1:8" ht="36.75" thickBot="1" x14ac:dyDescent="0.3">
      <c r="A153" s="97">
        <v>150</v>
      </c>
      <c r="B153" s="98" t="s">
        <v>241</v>
      </c>
      <c r="C153" s="98">
        <v>4412</v>
      </c>
      <c r="D153" s="99" t="s">
        <v>412</v>
      </c>
      <c r="E153" s="103" t="s">
        <v>247</v>
      </c>
      <c r="F153" s="98">
        <v>30</v>
      </c>
      <c r="G153" s="100">
        <v>1.8</v>
      </c>
      <c r="H153" s="101">
        <f t="shared" si="2"/>
        <v>54</v>
      </c>
    </row>
    <row r="154" spans="1:8" ht="36.75" thickBot="1" x14ac:dyDescent="0.3">
      <c r="A154" s="97">
        <v>151</v>
      </c>
      <c r="B154" s="98" t="s">
        <v>241</v>
      </c>
      <c r="C154" s="98">
        <v>4408</v>
      </c>
      <c r="D154" s="99" t="s">
        <v>413</v>
      </c>
      <c r="E154" s="103" t="s">
        <v>247</v>
      </c>
      <c r="F154" s="98">
        <v>30</v>
      </c>
      <c r="G154" s="100">
        <v>2.2400000000000002</v>
      </c>
      <c r="H154" s="101">
        <f t="shared" si="2"/>
        <v>67.2</v>
      </c>
    </row>
    <row r="155" spans="1:8" ht="36.75" thickBot="1" x14ac:dyDescent="0.3">
      <c r="A155" s="97">
        <v>152</v>
      </c>
      <c r="B155" s="98" t="s">
        <v>241</v>
      </c>
      <c r="C155" s="98">
        <v>11575</v>
      </c>
      <c r="D155" s="99" t="s">
        <v>414</v>
      </c>
      <c r="E155" s="98" t="s">
        <v>286</v>
      </c>
      <c r="F155" s="98">
        <v>2</v>
      </c>
      <c r="G155" s="100">
        <v>66.349999999999994</v>
      </c>
      <c r="H155" s="101">
        <f t="shared" si="2"/>
        <v>132.69999999999999</v>
      </c>
    </row>
    <row r="156" spans="1:8" ht="15.75" thickBot="1" x14ac:dyDescent="0.3">
      <c r="A156" s="97">
        <v>153</v>
      </c>
      <c r="B156" s="98" t="s">
        <v>241</v>
      </c>
      <c r="C156" s="98">
        <v>38401</v>
      </c>
      <c r="D156" s="99" t="s">
        <v>415</v>
      </c>
      <c r="E156" s="98" t="s">
        <v>286</v>
      </c>
      <c r="F156" s="98">
        <v>4</v>
      </c>
      <c r="G156" s="100">
        <v>22.92</v>
      </c>
      <c r="H156" s="101">
        <f t="shared" si="2"/>
        <v>91.68</v>
      </c>
    </row>
    <row r="157" spans="1:8" ht="24.75" thickBot="1" x14ac:dyDescent="0.3">
      <c r="A157" s="97">
        <v>154</v>
      </c>
      <c r="B157" s="98" t="s">
        <v>241</v>
      </c>
      <c r="C157" s="98">
        <v>38393</v>
      </c>
      <c r="D157" s="99" t="s">
        <v>416</v>
      </c>
      <c r="E157" s="98" t="s">
        <v>286</v>
      </c>
      <c r="F157" s="98">
        <v>10</v>
      </c>
      <c r="G157" s="100">
        <v>20</v>
      </c>
      <c r="H157" s="101">
        <f t="shared" si="2"/>
        <v>200</v>
      </c>
    </row>
    <row r="158" spans="1:8" ht="24.75" thickBot="1" x14ac:dyDescent="0.3">
      <c r="A158" s="97">
        <v>155</v>
      </c>
      <c r="B158" s="98" t="s">
        <v>241</v>
      </c>
      <c r="C158" s="98">
        <v>38390</v>
      </c>
      <c r="D158" s="99" t="s">
        <v>417</v>
      </c>
      <c r="E158" s="98" t="s">
        <v>286</v>
      </c>
      <c r="F158" s="98">
        <v>10</v>
      </c>
      <c r="G158" s="100">
        <v>44.36</v>
      </c>
      <c r="H158" s="101">
        <f t="shared" si="2"/>
        <v>443.6</v>
      </c>
    </row>
    <row r="159" spans="1:8" ht="24.75" thickBot="1" x14ac:dyDescent="0.3">
      <c r="A159" s="97">
        <v>156</v>
      </c>
      <c r="B159" s="98" t="s">
        <v>241</v>
      </c>
      <c r="C159" s="98">
        <v>1114</v>
      </c>
      <c r="D159" s="99" t="s">
        <v>418</v>
      </c>
      <c r="E159" s="98" t="s">
        <v>419</v>
      </c>
      <c r="F159" s="98">
        <v>10</v>
      </c>
      <c r="G159" s="100">
        <v>43.2</v>
      </c>
      <c r="H159" s="101">
        <f t="shared" si="2"/>
        <v>432</v>
      </c>
    </row>
    <row r="160" spans="1:8" ht="24.75" thickBot="1" x14ac:dyDescent="0.3">
      <c r="A160" s="97">
        <v>157</v>
      </c>
      <c r="B160" s="98" t="s">
        <v>241</v>
      </c>
      <c r="C160" s="98">
        <v>6085</v>
      </c>
      <c r="D160" s="99" t="s">
        <v>420</v>
      </c>
      <c r="E160" s="98" t="s">
        <v>245</v>
      </c>
      <c r="F160" s="98">
        <v>80</v>
      </c>
      <c r="G160" s="100">
        <v>5.92</v>
      </c>
      <c r="H160" s="101">
        <f t="shared" si="2"/>
        <v>473.6</v>
      </c>
    </row>
    <row r="161" spans="1:8" ht="36.75" thickBot="1" x14ac:dyDescent="0.3">
      <c r="A161" s="97">
        <v>158</v>
      </c>
      <c r="B161" s="98" t="s">
        <v>241</v>
      </c>
      <c r="C161" s="98">
        <v>142</v>
      </c>
      <c r="D161" s="99" t="s">
        <v>421</v>
      </c>
      <c r="E161" s="98" t="s">
        <v>422</v>
      </c>
      <c r="F161" s="98">
        <v>20</v>
      </c>
      <c r="G161" s="100">
        <v>37.549999999999997</v>
      </c>
      <c r="H161" s="101">
        <f t="shared" si="2"/>
        <v>751</v>
      </c>
    </row>
    <row r="162" spans="1:8" ht="24.75" thickBot="1" x14ac:dyDescent="0.3">
      <c r="A162" s="97">
        <v>159</v>
      </c>
      <c r="B162" s="98" t="s">
        <v>241</v>
      </c>
      <c r="C162" s="98">
        <v>13388</v>
      </c>
      <c r="D162" s="99" t="s">
        <v>423</v>
      </c>
      <c r="E162" s="98" t="s">
        <v>243</v>
      </c>
      <c r="F162" s="98">
        <v>2</v>
      </c>
      <c r="G162" s="100">
        <v>174.17</v>
      </c>
      <c r="H162" s="101">
        <f t="shared" si="2"/>
        <v>348.34</v>
      </c>
    </row>
    <row r="163" spans="1:8" ht="48.75" thickBot="1" x14ac:dyDescent="0.3">
      <c r="A163" s="97">
        <v>160</v>
      </c>
      <c r="B163" s="98" t="s">
        <v>241</v>
      </c>
      <c r="C163" s="98">
        <v>10928</v>
      </c>
      <c r="D163" s="99" t="s">
        <v>424</v>
      </c>
      <c r="E163" s="98" t="s">
        <v>276</v>
      </c>
      <c r="F163" s="98">
        <v>100</v>
      </c>
      <c r="G163" s="100">
        <v>14.3</v>
      </c>
      <c r="H163" s="101">
        <f t="shared" si="2"/>
        <v>1430</v>
      </c>
    </row>
    <row r="164" spans="1:8" ht="24.75" thickBot="1" x14ac:dyDescent="0.3">
      <c r="A164" s="97">
        <v>161</v>
      </c>
      <c r="B164" s="98" t="s">
        <v>241</v>
      </c>
      <c r="C164" s="98">
        <v>7186</v>
      </c>
      <c r="D164" s="99" t="s">
        <v>425</v>
      </c>
      <c r="E164" s="98" t="s">
        <v>286</v>
      </c>
      <c r="F164" s="98">
        <v>200</v>
      </c>
      <c r="G164" s="100">
        <v>60</v>
      </c>
      <c r="H164" s="101">
        <f t="shared" si="2"/>
        <v>12000</v>
      </c>
    </row>
    <row r="165" spans="1:8" ht="24.75" thickBot="1" x14ac:dyDescent="0.3">
      <c r="A165" s="97">
        <v>162</v>
      </c>
      <c r="B165" s="98" t="s">
        <v>241</v>
      </c>
      <c r="C165" s="98">
        <v>7194</v>
      </c>
      <c r="D165" s="99" t="s">
        <v>426</v>
      </c>
      <c r="E165" s="98" t="s">
        <v>427</v>
      </c>
      <c r="F165" s="98">
        <v>150</v>
      </c>
      <c r="G165" s="100">
        <v>27.66</v>
      </c>
      <c r="H165" s="101">
        <f t="shared" si="2"/>
        <v>4149</v>
      </c>
    </row>
    <row r="166" spans="1:8" ht="24.75" thickBot="1" x14ac:dyDescent="0.3">
      <c r="A166" s="97">
        <v>163</v>
      </c>
      <c r="B166" s="98" t="s">
        <v>241</v>
      </c>
      <c r="C166" s="98">
        <v>7197</v>
      </c>
      <c r="D166" s="99" t="s">
        <v>428</v>
      </c>
      <c r="E166" s="98" t="s">
        <v>286</v>
      </c>
      <c r="F166" s="98">
        <v>200</v>
      </c>
      <c r="G166" s="100">
        <v>116.76</v>
      </c>
      <c r="H166" s="101">
        <f t="shared" si="2"/>
        <v>23352</v>
      </c>
    </row>
    <row r="167" spans="1:8" ht="36.75" thickBot="1" x14ac:dyDescent="0.3">
      <c r="A167" s="97">
        <v>164</v>
      </c>
      <c r="B167" s="98" t="s">
        <v>241</v>
      </c>
      <c r="C167" s="98">
        <v>7343</v>
      </c>
      <c r="D167" s="99" t="s">
        <v>429</v>
      </c>
      <c r="E167" s="98" t="s">
        <v>245</v>
      </c>
      <c r="F167" s="98">
        <v>5</v>
      </c>
      <c r="G167" s="100">
        <v>18.21</v>
      </c>
      <c r="H167" s="101">
        <f t="shared" si="2"/>
        <v>91.050000000000011</v>
      </c>
    </row>
    <row r="168" spans="1:8" ht="15.75" thickBot="1" x14ac:dyDescent="0.3">
      <c r="A168" s="97">
        <v>165</v>
      </c>
      <c r="B168" s="98" t="s">
        <v>241</v>
      </c>
      <c r="C168" s="98">
        <v>7348</v>
      </c>
      <c r="D168" s="99" t="s">
        <v>430</v>
      </c>
      <c r="E168" s="98" t="s">
        <v>245</v>
      </c>
      <c r="F168" s="98">
        <v>50</v>
      </c>
      <c r="G168" s="100">
        <v>19.149999999999999</v>
      </c>
      <c r="H168" s="101">
        <f t="shared" si="2"/>
        <v>957.49999999999989</v>
      </c>
    </row>
    <row r="169" spans="1:8" ht="24.75" thickBot="1" x14ac:dyDescent="0.3">
      <c r="A169" s="97">
        <v>166</v>
      </c>
      <c r="B169" s="98" t="s">
        <v>241</v>
      </c>
      <c r="C169" s="98">
        <v>7356</v>
      </c>
      <c r="D169" s="99" t="s">
        <v>431</v>
      </c>
      <c r="E169" s="98" t="s">
        <v>245</v>
      </c>
      <c r="F169" s="98">
        <v>5</v>
      </c>
      <c r="G169" s="100">
        <v>28.56</v>
      </c>
      <c r="H169" s="101">
        <f t="shared" si="2"/>
        <v>142.79999999999998</v>
      </c>
    </row>
    <row r="170" spans="1:8" ht="15.75" thickBot="1" x14ac:dyDescent="0.3">
      <c r="A170" s="97">
        <v>167</v>
      </c>
      <c r="B170" s="98" t="s">
        <v>241</v>
      </c>
      <c r="C170" s="98">
        <v>7304</v>
      </c>
      <c r="D170" s="99" t="s">
        <v>432</v>
      </c>
      <c r="E170" s="98" t="s">
        <v>245</v>
      </c>
      <c r="F170" s="98">
        <v>5</v>
      </c>
      <c r="G170" s="100">
        <v>69.34</v>
      </c>
      <c r="H170" s="101">
        <f t="shared" si="2"/>
        <v>346.70000000000005</v>
      </c>
    </row>
    <row r="171" spans="1:8" ht="24.75" thickBot="1" x14ac:dyDescent="0.3">
      <c r="A171" s="97">
        <v>168</v>
      </c>
      <c r="B171" s="98" t="s">
        <v>241</v>
      </c>
      <c r="C171" s="98">
        <v>35693</v>
      </c>
      <c r="D171" s="99" t="s">
        <v>433</v>
      </c>
      <c r="E171" s="98" t="s">
        <v>245</v>
      </c>
      <c r="F171" s="98">
        <v>20</v>
      </c>
      <c r="G171" s="100">
        <v>11.91</v>
      </c>
      <c r="H171" s="101">
        <f t="shared" si="2"/>
        <v>238.2</v>
      </c>
    </row>
    <row r="172" spans="1:8" ht="24.75" thickBot="1" x14ac:dyDescent="0.3">
      <c r="A172" s="97">
        <v>169</v>
      </c>
      <c r="B172" s="98" t="s">
        <v>241</v>
      </c>
      <c r="C172" s="98">
        <v>35692</v>
      </c>
      <c r="D172" s="99" t="s">
        <v>434</v>
      </c>
      <c r="E172" s="98" t="s">
        <v>245</v>
      </c>
      <c r="F172" s="98">
        <v>5</v>
      </c>
      <c r="G172" s="100">
        <v>18.690000000000001</v>
      </c>
      <c r="H172" s="101">
        <f t="shared" si="2"/>
        <v>93.45</v>
      </c>
    </row>
    <row r="173" spans="1:8" ht="24.75" thickBot="1" x14ac:dyDescent="0.3">
      <c r="A173" s="97">
        <v>170</v>
      </c>
      <c r="B173" s="98" t="s">
        <v>241</v>
      </c>
      <c r="C173" s="98">
        <v>7306</v>
      </c>
      <c r="D173" s="99" t="s">
        <v>435</v>
      </c>
      <c r="E173" s="98" t="s">
        <v>245</v>
      </c>
      <c r="F173" s="98">
        <v>5</v>
      </c>
      <c r="G173" s="100">
        <v>41.03</v>
      </c>
      <c r="H173" s="101">
        <f t="shared" si="2"/>
        <v>205.15</v>
      </c>
    </row>
    <row r="174" spans="1:8" ht="24.75" thickBot="1" x14ac:dyDescent="0.3">
      <c r="A174" s="97">
        <v>171</v>
      </c>
      <c r="B174" s="98" t="s">
        <v>241</v>
      </c>
      <c r="C174" s="98">
        <v>43649</v>
      </c>
      <c r="D174" s="99" t="s">
        <v>436</v>
      </c>
      <c r="E174" s="98" t="s">
        <v>245</v>
      </c>
      <c r="F174" s="98">
        <v>20</v>
      </c>
      <c r="G174" s="100">
        <v>35.86</v>
      </c>
      <c r="H174" s="101">
        <f t="shared" si="2"/>
        <v>717.2</v>
      </c>
    </row>
    <row r="175" spans="1:8" ht="24.75" thickBot="1" x14ac:dyDescent="0.3">
      <c r="A175" s="97">
        <v>172</v>
      </c>
      <c r="B175" s="98" t="s">
        <v>241</v>
      </c>
      <c r="C175" s="98">
        <v>43650</v>
      </c>
      <c r="D175" s="99" t="s">
        <v>437</v>
      </c>
      <c r="E175" s="98" t="s">
        <v>245</v>
      </c>
      <c r="F175" s="98">
        <v>20</v>
      </c>
      <c r="G175" s="100">
        <v>33.89</v>
      </c>
      <c r="H175" s="101">
        <f t="shared" si="2"/>
        <v>677.8</v>
      </c>
    </row>
    <row r="176" spans="1:8" ht="36.75" thickBot="1" x14ac:dyDescent="0.3">
      <c r="A176" s="97">
        <v>173</v>
      </c>
      <c r="B176" s="98" t="s">
        <v>241</v>
      </c>
      <c r="C176" s="98">
        <v>10478</v>
      </c>
      <c r="D176" s="99" t="s">
        <v>438</v>
      </c>
      <c r="E176" s="98" t="s">
        <v>245</v>
      </c>
      <c r="F176" s="98">
        <v>5</v>
      </c>
      <c r="G176" s="100">
        <v>40.53</v>
      </c>
      <c r="H176" s="101">
        <f t="shared" si="2"/>
        <v>202.65</v>
      </c>
    </row>
    <row r="177" spans="1:8" ht="24.75" thickBot="1" x14ac:dyDescent="0.3">
      <c r="A177" s="97">
        <v>174</v>
      </c>
      <c r="B177" s="98" t="s">
        <v>241</v>
      </c>
      <c r="C177" s="98">
        <v>11188</v>
      </c>
      <c r="D177" s="99" t="s">
        <v>439</v>
      </c>
      <c r="E177" s="98" t="s">
        <v>427</v>
      </c>
      <c r="F177" s="98">
        <v>2</v>
      </c>
      <c r="G177" s="100">
        <v>239.99</v>
      </c>
      <c r="H177" s="101">
        <f t="shared" si="2"/>
        <v>479.98</v>
      </c>
    </row>
    <row r="178" spans="1:8" ht="24.75" thickBot="1" x14ac:dyDescent="0.3">
      <c r="A178" s="97">
        <v>175</v>
      </c>
      <c r="B178" s="98" t="s">
        <v>241</v>
      </c>
      <c r="C178" s="98">
        <v>11189</v>
      </c>
      <c r="D178" s="99" t="s">
        <v>440</v>
      </c>
      <c r="E178" s="98" t="s">
        <v>427</v>
      </c>
      <c r="F178" s="98">
        <v>2</v>
      </c>
      <c r="G178" s="100">
        <v>360</v>
      </c>
      <c r="H178" s="101">
        <f t="shared" si="2"/>
        <v>720</v>
      </c>
    </row>
    <row r="179" spans="1:8" ht="24.75" thickBot="1" x14ac:dyDescent="0.3">
      <c r="A179" s="97">
        <v>176</v>
      </c>
      <c r="B179" s="98" t="s">
        <v>241</v>
      </c>
      <c r="C179" s="98">
        <v>21107</v>
      </c>
      <c r="D179" s="99" t="s">
        <v>441</v>
      </c>
      <c r="E179" s="98" t="s">
        <v>427</v>
      </c>
      <c r="F179" s="98">
        <v>2</v>
      </c>
      <c r="G179" s="100">
        <v>259.07</v>
      </c>
      <c r="H179" s="101">
        <f t="shared" si="2"/>
        <v>518.14</v>
      </c>
    </row>
    <row r="180" spans="1:8" ht="24.75" thickBot="1" x14ac:dyDescent="0.3">
      <c r="A180" s="97">
        <v>177</v>
      </c>
      <c r="B180" s="98" t="s">
        <v>241</v>
      </c>
      <c r="C180" s="98">
        <v>34386</v>
      </c>
      <c r="D180" s="99" t="s">
        <v>442</v>
      </c>
      <c r="E180" s="98" t="s">
        <v>427</v>
      </c>
      <c r="F180" s="98">
        <v>2</v>
      </c>
      <c r="G180" s="100">
        <v>450</v>
      </c>
      <c r="H180" s="101">
        <f t="shared" si="2"/>
        <v>900</v>
      </c>
    </row>
    <row r="181" spans="1:8" ht="24.75" thickBot="1" x14ac:dyDescent="0.3">
      <c r="A181" s="97">
        <v>178</v>
      </c>
      <c r="B181" s="98" t="s">
        <v>241</v>
      </c>
      <c r="C181" s="98">
        <v>10490</v>
      </c>
      <c r="D181" s="99" t="s">
        <v>443</v>
      </c>
      <c r="E181" s="98" t="s">
        <v>427</v>
      </c>
      <c r="F181" s="98">
        <v>2</v>
      </c>
      <c r="G181" s="100">
        <v>157.5</v>
      </c>
      <c r="H181" s="101">
        <f t="shared" si="2"/>
        <v>315</v>
      </c>
    </row>
    <row r="182" spans="1:8" ht="24.75" thickBot="1" x14ac:dyDescent="0.3">
      <c r="A182" s="97">
        <v>179</v>
      </c>
      <c r="B182" s="98" t="s">
        <v>241</v>
      </c>
      <c r="C182" s="98">
        <v>10492</v>
      </c>
      <c r="D182" s="99" t="s">
        <v>444</v>
      </c>
      <c r="E182" s="98" t="s">
        <v>427</v>
      </c>
      <c r="F182" s="98">
        <v>2</v>
      </c>
      <c r="G182" s="100">
        <v>180</v>
      </c>
      <c r="H182" s="101">
        <f t="shared" si="2"/>
        <v>360</v>
      </c>
    </row>
    <row r="183" spans="1:8" ht="24.75" thickBot="1" x14ac:dyDescent="0.3">
      <c r="A183" s="97">
        <v>180</v>
      </c>
      <c r="B183" s="98" t="s">
        <v>241</v>
      </c>
      <c r="C183" s="98">
        <v>10493</v>
      </c>
      <c r="D183" s="99" t="s">
        <v>445</v>
      </c>
      <c r="E183" s="98" t="s">
        <v>427</v>
      </c>
      <c r="F183" s="98">
        <v>2</v>
      </c>
      <c r="G183" s="100">
        <v>210</v>
      </c>
      <c r="H183" s="101">
        <f t="shared" si="2"/>
        <v>420</v>
      </c>
    </row>
    <row r="184" spans="1:8" ht="24.75" thickBot="1" x14ac:dyDescent="0.3">
      <c r="A184" s="97">
        <v>181</v>
      </c>
      <c r="B184" s="98" t="s">
        <v>241</v>
      </c>
      <c r="C184" s="98">
        <v>10491</v>
      </c>
      <c r="D184" s="99" t="s">
        <v>446</v>
      </c>
      <c r="E184" s="98" t="s">
        <v>427</v>
      </c>
      <c r="F184" s="98">
        <v>2</v>
      </c>
      <c r="G184" s="100">
        <v>255</v>
      </c>
      <c r="H184" s="101">
        <f t="shared" si="2"/>
        <v>510</v>
      </c>
    </row>
    <row r="185" spans="1:8" ht="24.75" thickBot="1" x14ac:dyDescent="0.3">
      <c r="A185" s="97">
        <v>182</v>
      </c>
      <c r="B185" s="98" t="s">
        <v>241</v>
      </c>
      <c r="C185" s="98">
        <v>34385</v>
      </c>
      <c r="D185" s="99" t="s">
        <v>447</v>
      </c>
      <c r="E185" s="98" t="s">
        <v>427</v>
      </c>
      <c r="F185" s="98">
        <v>2</v>
      </c>
      <c r="G185" s="100">
        <v>372</v>
      </c>
      <c r="H185" s="101">
        <f t="shared" si="2"/>
        <v>744</v>
      </c>
    </row>
    <row r="186" spans="1:8" ht="24.75" thickBot="1" x14ac:dyDescent="0.3">
      <c r="A186" s="97">
        <v>183</v>
      </c>
      <c r="B186" s="98" t="s">
        <v>241</v>
      </c>
      <c r="C186" s="98">
        <v>10499</v>
      </c>
      <c r="D186" s="99" t="s">
        <v>448</v>
      </c>
      <c r="E186" s="98" t="s">
        <v>427</v>
      </c>
      <c r="F186" s="98">
        <v>2</v>
      </c>
      <c r="G186" s="100">
        <v>149.99</v>
      </c>
      <c r="H186" s="101">
        <f t="shared" si="2"/>
        <v>299.98</v>
      </c>
    </row>
    <row r="187" spans="1:8" ht="24.75" thickBot="1" x14ac:dyDescent="0.3">
      <c r="A187" s="97">
        <v>184</v>
      </c>
      <c r="B187" s="98" t="s">
        <v>241</v>
      </c>
      <c r="C187" s="98">
        <v>34384</v>
      </c>
      <c r="D187" s="99" t="s">
        <v>449</v>
      </c>
      <c r="E187" s="98" t="s">
        <v>427</v>
      </c>
      <c r="F187" s="98">
        <v>2</v>
      </c>
      <c r="G187" s="100">
        <v>450</v>
      </c>
      <c r="H187" s="101">
        <f t="shared" si="2"/>
        <v>900</v>
      </c>
    </row>
    <row r="188" spans="1:8" ht="24.75" thickBot="1" x14ac:dyDescent="0.3">
      <c r="A188" s="97">
        <v>185</v>
      </c>
      <c r="B188" s="98" t="s">
        <v>241</v>
      </c>
      <c r="C188" s="98">
        <v>11185</v>
      </c>
      <c r="D188" s="99" t="s">
        <v>450</v>
      </c>
      <c r="E188" s="98" t="s">
        <v>427</v>
      </c>
      <c r="F188" s="98">
        <v>2</v>
      </c>
      <c r="G188" s="100">
        <v>464.99</v>
      </c>
      <c r="H188" s="101">
        <f t="shared" si="2"/>
        <v>929.98</v>
      </c>
    </row>
    <row r="189" spans="1:8" ht="24.75" thickBot="1" x14ac:dyDescent="0.3">
      <c r="A189" s="97">
        <v>186</v>
      </c>
      <c r="B189" s="98" t="s">
        <v>241</v>
      </c>
      <c r="C189" s="98">
        <v>10507</v>
      </c>
      <c r="D189" s="99" t="s">
        <v>451</v>
      </c>
      <c r="E189" s="98" t="s">
        <v>427</v>
      </c>
      <c r="F189" s="98">
        <v>2</v>
      </c>
      <c r="G189" s="100">
        <v>416.05</v>
      </c>
      <c r="H189" s="101">
        <f t="shared" si="2"/>
        <v>832.1</v>
      </c>
    </row>
    <row r="190" spans="1:8" ht="24.75" thickBot="1" x14ac:dyDescent="0.3">
      <c r="A190" s="97">
        <v>187</v>
      </c>
      <c r="B190" s="98" t="s">
        <v>241</v>
      </c>
      <c r="C190" s="98">
        <v>10505</v>
      </c>
      <c r="D190" s="99" t="s">
        <v>452</v>
      </c>
      <c r="E190" s="98" t="s">
        <v>427</v>
      </c>
      <c r="F190" s="98">
        <v>2</v>
      </c>
      <c r="G190" s="100">
        <v>245.5</v>
      </c>
      <c r="H190" s="101">
        <f t="shared" si="2"/>
        <v>491</v>
      </c>
    </row>
    <row r="191" spans="1:8" ht="24.75" thickBot="1" x14ac:dyDescent="0.3">
      <c r="A191" s="97">
        <v>188</v>
      </c>
      <c r="B191" s="98" t="s">
        <v>241</v>
      </c>
      <c r="C191" s="98">
        <v>10506</v>
      </c>
      <c r="D191" s="99" t="s">
        <v>453</v>
      </c>
      <c r="E191" s="98" t="s">
        <v>427</v>
      </c>
      <c r="F191" s="98">
        <v>2</v>
      </c>
      <c r="G191" s="100">
        <v>320.48</v>
      </c>
      <c r="H191" s="101">
        <f t="shared" si="2"/>
        <v>640.96</v>
      </c>
    </row>
    <row r="192" spans="1:8" ht="36.75" thickBot="1" x14ac:dyDescent="0.3">
      <c r="A192" s="97">
        <v>189</v>
      </c>
      <c r="B192" s="98" t="s">
        <v>241</v>
      </c>
      <c r="C192" s="98">
        <v>5031</v>
      </c>
      <c r="D192" s="99" t="s">
        <v>454</v>
      </c>
      <c r="E192" s="98" t="s">
        <v>427</v>
      </c>
      <c r="F192" s="98">
        <v>2</v>
      </c>
      <c r="G192" s="100">
        <v>450</v>
      </c>
      <c r="H192" s="101">
        <f t="shared" si="2"/>
        <v>900</v>
      </c>
    </row>
    <row r="193" spans="1:8" ht="24.75" thickBot="1" x14ac:dyDescent="0.3">
      <c r="A193" s="97">
        <v>190</v>
      </c>
      <c r="B193" s="98" t="s">
        <v>241</v>
      </c>
      <c r="C193" s="98">
        <v>10502</v>
      </c>
      <c r="D193" s="99" t="s">
        <v>455</v>
      </c>
      <c r="E193" s="98" t="s">
        <v>427</v>
      </c>
      <c r="F193" s="98">
        <v>2</v>
      </c>
      <c r="G193" s="100">
        <v>524.35</v>
      </c>
      <c r="H193" s="101">
        <f t="shared" si="2"/>
        <v>1048.7</v>
      </c>
    </row>
    <row r="194" spans="1:8" ht="24.75" thickBot="1" x14ac:dyDescent="0.3">
      <c r="A194" s="97">
        <v>191</v>
      </c>
      <c r="B194" s="98" t="s">
        <v>241</v>
      </c>
      <c r="C194" s="98">
        <v>10501</v>
      </c>
      <c r="D194" s="99" t="s">
        <v>456</v>
      </c>
      <c r="E194" s="98" t="s">
        <v>427</v>
      </c>
      <c r="F194" s="98">
        <v>2</v>
      </c>
      <c r="G194" s="100">
        <v>296.33999999999997</v>
      </c>
      <c r="H194" s="101">
        <f t="shared" si="2"/>
        <v>592.67999999999995</v>
      </c>
    </row>
    <row r="195" spans="1:8" ht="15.75" thickBot="1" x14ac:dyDescent="0.3">
      <c r="A195" s="290" t="s">
        <v>457</v>
      </c>
      <c r="B195" s="291"/>
      <c r="C195" s="291"/>
      <c r="D195" s="291"/>
      <c r="E195" s="291"/>
      <c r="F195" s="291"/>
      <c r="G195" s="292"/>
      <c r="H195" s="104">
        <f>SUM(H4:H194)</f>
        <v>142960.20000000004</v>
      </c>
    </row>
    <row r="196" spans="1:8" ht="15.75" thickBot="1" x14ac:dyDescent="0.3"/>
    <row r="197" spans="1:8" ht="15.75" thickBot="1" x14ac:dyDescent="0.3">
      <c r="A197" s="310" t="s">
        <v>458</v>
      </c>
      <c r="B197" s="311"/>
      <c r="C197" s="311"/>
      <c r="D197" s="311"/>
      <c r="E197" s="311"/>
      <c r="F197" s="311"/>
      <c r="G197" s="311"/>
      <c r="H197" s="312"/>
    </row>
    <row r="198" spans="1:8" ht="24.75" thickBot="1" x14ac:dyDescent="0.3">
      <c r="A198" s="96" t="s">
        <v>233</v>
      </c>
      <c r="B198" s="96" t="s">
        <v>234</v>
      </c>
      <c r="C198" s="96" t="s">
        <v>235</v>
      </c>
      <c r="D198" s="96" t="s">
        <v>236</v>
      </c>
      <c r="E198" s="96" t="s">
        <v>237</v>
      </c>
      <c r="F198" s="96" t="s">
        <v>167</v>
      </c>
      <c r="G198" s="96" t="s">
        <v>239</v>
      </c>
      <c r="H198" s="96" t="s">
        <v>240</v>
      </c>
    </row>
    <row r="199" spans="1:8" ht="36.75" thickBot="1" x14ac:dyDescent="0.3">
      <c r="A199" s="97">
        <v>1</v>
      </c>
      <c r="B199" s="98" t="s">
        <v>241</v>
      </c>
      <c r="C199" s="98">
        <v>107</v>
      </c>
      <c r="D199" s="99" t="s">
        <v>459</v>
      </c>
      <c r="E199" s="98" t="s">
        <v>274</v>
      </c>
      <c r="F199" s="98">
        <v>5</v>
      </c>
      <c r="G199" s="100">
        <v>0.7</v>
      </c>
      <c r="H199" s="101">
        <f>G199*F199</f>
        <v>3.5</v>
      </c>
    </row>
    <row r="200" spans="1:8" ht="36.75" thickBot="1" x14ac:dyDescent="0.3">
      <c r="A200" s="97">
        <v>2</v>
      </c>
      <c r="B200" s="98" t="s">
        <v>241</v>
      </c>
      <c r="C200" s="98">
        <v>65</v>
      </c>
      <c r="D200" s="99" t="s">
        <v>460</v>
      </c>
      <c r="E200" s="98" t="s">
        <v>274</v>
      </c>
      <c r="F200" s="98">
        <v>5</v>
      </c>
      <c r="G200" s="100">
        <v>0.76</v>
      </c>
      <c r="H200" s="101">
        <f t="shared" ref="H200:H263" si="3">G200*F200</f>
        <v>3.8</v>
      </c>
    </row>
    <row r="201" spans="1:8" ht="36.75" thickBot="1" x14ac:dyDescent="0.3">
      <c r="A201" s="97">
        <v>3</v>
      </c>
      <c r="B201" s="98" t="s">
        <v>241</v>
      </c>
      <c r="C201" s="98">
        <v>108</v>
      </c>
      <c r="D201" s="99" t="s">
        <v>461</v>
      </c>
      <c r="E201" s="98" t="s">
        <v>274</v>
      </c>
      <c r="F201" s="98">
        <v>5</v>
      </c>
      <c r="G201" s="100">
        <v>1.54</v>
      </c>
      <c r="H201" s="101">
        <f t="shared" si="3"/>
        <v>7.7</v>
      </c>
    </row>
    <row r="202" spans="1:8" ht="36.75" thickBot="1" x14ac:dyDescent="0.3">
      <c r="A202" s="97">
        <v>4</v>
      </c>
      <c r="B202" s="98" t="s">
        <v>241</v>
      </c>
      <c r="C202" s="98">
        <v>110</v>
      </c>
      <c r="D202" s="99" t="s">
        <v>462</v>
      </c>
      <c r="E202" s="98" t="s">
        <v>274</v>
      </c>
      <c r="F202" s="98">
        <v>5</v>
      </c>
      <c r="G202" s="100">
        <v>5.35</v>
      </c>
      <c r="H202" s="101">
        <f t="shared" si="3"/>
        <v>26.75</v>
      </c>
    </row>
    <row r="203" spans="1:8" ht="36.75" thickBot="1" x14ac:dyDescent="0.3">
      <c r="A203" s="97">
        <v>5</v>
      </c>
      <c r="B203" s="98" t="s">
        <v>241</v>
      </c>
      <c r="C203" s="98">
        <v>111</v>
      </c>
      <c r="D203" s="99" t="s">
        <v>463</v>
      </c>
      <c r="E203" s="98" t="s">
        <v>274</v>
      </c>
      <c r="F203" s="98">
        <v>5</v>
      </c>
      <c r="G203" s="100">
        <v>7.24</v>
      </c>
      <c r="H203" s="101">
        <f t="shared" si="3"/>
        <v>36.200000000000003</v>
      </c>
    </row>
    <row r="204" spans="1:8" ht="36.75" thickBot="1" x14ac:dyDescent="0.3">
      <c r="A204" s="97">
        <v>6</v>
      </c>
      <c r="B204" s="98" t="s">
        <v>241</v>
      </c>
      <c r="C204" s="98">
        <v>112</v>
      </c>
      <c r="D204" s="99" t="s">
        <v>464</v>
      </c>
      <c r="E204" s="98" t="s">
        <v>274</v>
      </c>
      <c r="F204" s="98">
        <v>5</v>
      </c>
      <c r="G204" s="100">
        <v>3.83</v>
      </c>
      <c r="H204" s="101">
        <f t="shared" si="3"/>
        <v>19.149999999999999</v>
      </c>
    </row>
    <row r="205" spans="1:8" ht="36.75" thickBot="1" x14ac:dyDescent="0.3">
      <c r="A205" s="97">
        <v>7</v>
      </c>
      <c r="B205" s="98" t="s">
        <v>241</v>
      </c>
      <c r="C205" s="98">
        <v>95</v>
      </c>
      <c r="D205" s="99" t="s">
        <v>465</v>
      </c>
      <c r="E205" s="98" t="s">
        <v>274</v>
      </c>
      <c r="F205" s="98">
        <v>10</v>
      </c>
      <c r="G205" s="100">
        <v>9.73</v>
      </c>
      <c r="H205" s="101">
        <f t="shared" si="3"/>
        <v>97.300000000000011</v>
      </c>
    </row>
    <row r="206" spans="1:8" ht="36.75" thickBot="1" x14ac:dyDescent="0.3">
      <c r="A206" s="97">
        <v>8</v>
      </c>
      <c r="B206" s="98" t="s">
        <v>241</v>
      </c>
      <c r="C206" s="98">
        <v>96</v>
      </c>
      <c r="D206" s="99" t="s">
        <v>466</v>
      </c>
      <c r="E206" s="98" t="s">
        <v>274</v>
      </c>
      <c r="F206" s="98">
        <v>3</v>
      </c>
      <c r="G206" s="100">
        <v>10.59</v>
      </c>
      <c r="H206" s="101">
        <f t="shared" si="3"/>
        <v>31.77</v>
      </c>
    </row>
    <row r="207" spans="1:8" ht="36.75" thickBot="1" x14ac:dyDescent="0.3">
      <c r="A207" s="97">
        <v>9</v>
      </c>
      <c r="B207" s="98" t="s">
        <v>241</v>
      </c>
      <c r="C207" s="98">
        <v>97</v>
      </c>
      <c r="D207" s="99" t="s">
        <v>467</v>
      </c>
      <c r="E207" s="98" t="s">
        <v>274</v>
      </c>
      <c r="F207" s="98">
        <v>3</v>
      </c>
      <c r="G207" s="100">
        <v>15.93</v>
      </c>
      <c r="H207" s="101">
        <f t="shared" si="3"/>
        <v>47.79</v>
      </c>
    </row>
    <row r="208" spans="1:8" ht="36.75" thickBot="1" x14ac:dyDescent="0.3">
      <c r="A208" s="97">
        <v>10</v>
      </c>
      <c r="B208" s="98" t="s">
        <v>241</v>
      </c>
      <c r="C208" s="98">
        <v>98</v>
      </c>
      <c r="D208" s="99" t="s">
        <v>468</v>
      </c>
      <c r="E208" s="98" t="s">
        <v>274</v>
      </c>
      <c r="F208" s="98">
        <v>3</v>
      </c>
      <c r="G208" s="100">
        <v>23.85</v>
      </c>
      <c r="H208" s="101">
        <f t="shared" si="3"/>
        <v>71.550000000000011</v>
      </c>
    </row>
    <row r="209" spans="1:8" ht="36.75" thickBot="1" x14ac:dyDescent="0.3">
      <c r="A209" s="97">
        <v>11</v>
      </c>
      <c r="B209" s="98" t="s">
        <v>241</v>
      </c>
      <c r="C209" s="98">
        <v>99</v>
      </c>
      <c r="D209" s="99" t="s">
        <v>469</v>
      </c>
      <c r="E209" s="98" t="s">
        <v>274</v>
      </c>
      <c r="F209" s="98">
        <v>3</v>
      </c>
      <c r="G209" s="100">
        <v>22.54</v>
      </c>
      <c r="H209" s="101">
        <f t="shared" si="3"/>
        <v>67.62</v>
      </c>
    </row>
    <row r="210" spans="1:8" ht="36.75" thickBot="1" x14ac:dyDescent="0.3">
      <c r="A210" s="97">
        <v>12</v>
      </c>
      <c r="B210" s="98" t="s">
        <v>241</v>
      </c>
      <c r="C210" s="98">
        <v>60</v>
      </c>
      <c r="D210" s="99" t="s">
        <v>470</v>
      </c>
      <c r="E210" s="98" t="s">
        <v>274</v>
      </c>
      <c r="F210" s="98">
        <v>5</v>
      </c>
      <c r="G210" s="100">
        <v>5.41</v>
      </c>
      <c r="H210" s="101">
        <f t="shared" si="3"/>
        <v>27.05</v>
      </c>
    </row>
    <row r="211" spans="1:8" ht="24.75" thickBot="1" x14ac:dyDescent="0.3">
      <c r="A211" s="97">
        <v>13</v>
      </c>
      <c r="B211" s="98" t="s">
        <v>241</v>
      </c>
      <c r="C211" s="98">
        <v>119</v>
      </c>
      <c r="D211" s="99" t="s">
        <v>471</v>
      </c>
      <c r="E211" s="98" t="s">
        <v>274</v>
      </c>
      <c r="F211" s="98">
        <v>10</v>
      </c>
      <c r="G211" s="100">
        <v>10</v>
      </c>
      <c r="H211" s="101">
        <f t="shared" si="3"/>
        <v>100</v>
      </c>
    </row>
    <row r="212" spans="1:8" ht="24.75" thickBot="1" x14ac:dyDescent="0.3">
      <c r="A212" s="97">
        <v>14</v>
      </c>
      <c r="B212" s="98" t="s">
        <v>241</v>
      </c>
      <c r="C212" s="98">
        <v>20080</v>
      </c>
      <c r="D212" s="99" t="s">
        <v>472</v>
      </c>
      <c r="E212" s="98" t="s">
        <v>274</v>
      </c>
      <c r="F212" s="98">
        <v>10</v>
      </c>
      <c r="G212" s="100">
        <v>25.11</v>
      </c>
      <c r="H212" s="101">
        <f t="shared" si="3"/>
        <v>251.1</v>
      </c>
    </row>
    <row r="213" spans="1:8" ht="24.75" thickBot="1" x14ac:dyDescent="0.3">
      <c r="A213" s="97">
        <v>15</v>
      </c>
      <c r="B213" s="98" t="s">
        <v>241</v>
      </c>
      <c r="C213" s="98">
        <v>122</v>
      </c>
      <c r="D213" s="99" t="s">
        <v>473</v>
      </c>
      <c r="E213" s="98" t="s">
        <v>274</v>
      </c>
      <c r="F213" s="98">
        <v>1</v>
      </c>
      <c r="G213" s="100">
        <v>76.94</v>
      </c>
      <c r="H213" s="101">
        <f t="shared" si="3"/>
        <v>76.94</v>
      </c>
    </row>
    <row r="214" spans="1:8" ht="15.75" thickBot="1" x14ac:dyDescent="0.3">
      <c r="A214" s="97">
        <v>16</v>
      </c>
      <c r="B214" s="98" t="s">
        <v>241</v>
      </c>
      <c r="C214" s="98">
        <v>21114</v>
      </c>
      <c r="D214" s="99" t="s">
        <v>474</v>
      </c>
      <c r="E214" s="98" t="s">
        <v>274</v>
      </c>
      <c r="F214" s="98">
        <v>8</v>
      </c>
      <c r="G214" s="100">
        <v>39.450000000000003</v>
      </c>
      <c r="H214" s="101">
        <f t="shared" si="3"/>
        <v>315.60000000000002</v>
      </c>
    </row>
    <row r="215" spans="1:8" ht="24.75" thickBot="1" x14ac:dyDescent="0.3">
      <c r="A215" s="97">
        <v>17</v>
      </c>
      <c r="B215" s="98" t="s">
        <v>241</v>
      </c>
      <c r="C215" s="98">
        <v>156</v>
      </c>
      <c r="D215" s="99" t="s">
        <v>475</v>
      </c>
      <c r="E215" s="98" t="s">
        <v>303</v>
      </c>
      <c r="F215" s="98">
        <v>5</v>
      </c>
      <c r="G215" s="100">
        <v>58.03</v>
      </c>
      <c r="H215" s="101">
        <f t="shared" si="3"/>
        <v>290.14999999999998</v>
      </c>
    </row>
    <row r="216" spans="1:8" ht="24.75" thickBot="1" x14ac:dyDescent="0.3">
      <c r="A216" s="97">
        <v>18</v>
      </c>
      <c r="B216" s="98" t="s">
        <v>241</v>
      </c>
      <c r="C216" s="98">
        <v>296</v>
      </c>
      <c r="D216" s="99" t="s">
        <v>476</v>
      </c>
      <c r="E216" s="98" t="s">
        <v>274</v>
      </c>
      <c r="F216" s="98">
        <v>10</v>
      </c>
      <c r="G216" s="100">
        <v>1.83</v>
      </c>
      <c r="H216" s="101">
        <f t="shared" si="3"/>
        <v>18.3</v>
      </c>
    </row>
    <row r="217" spans="1:8" ht="24.75" thickBot="1" x14ac:dyDescent="0.3">
      <c r="A217" s="97">
        <v>19</v>
      </c>
      <c r="B217" s="98" t="s">
        <v>241</v>
      </c>
      <c r="C217" s="98">
        <v>297</v>
      </c>
      <c r="D217" s="99" t="s">
        <v>477</v>
      </c>
      <c r="E217" s="98" t="s">
        <v>274</v>
      </c>
      <c r="F217" s="98">
        <v>10</v>
      </c>
      <c r="G217" s="100">
        <v>2.7</v>
      </c>
      <c r="H217" s="101">
        <f t="shared" si="3"/>
        <v>27</v>
      </c>
    </row>
    <row r="218" spans="1:8" ht="24.75" thickBot="1" x14ac:dyDescent="0.3">
      <c r="A218" s="97">
        <v>20</v>
      </c>
      <c r="B218" s="98" t="s">
        <v>241</v>
      </c>
      <c r="C218" s="98">
        <v>301</v>
      </c>
      <c r="D218" s="99" t="s">
        <v>478</v>
      </c>
      <c r="E218" s="98" t="s">
        <v>274</v>
      </c>
      <c r="F218" s="98">
        <v>10</v>
      </c>
      <c r="G218" s="100">
        <v>3.25</v>
      </c>
      <c r="H218" s="101">
        <f t="shared" si="3"/>
        <v>32.5</v>
      </c>
    </row>
    <row r="219" spans="1:8" ht="24.75" thickBot="1" x14ac:dyDescent="0.3">
      <c r="A219" s="97">
        <v>21</v>
      </c>
      <c r="B219" s="98" t="s">
        <v>241</v>
      </c>
      <c r="C219" s="98">
        <v>377</v>
      </c>
      <c r="D219" s="99" t="s">
        <v>479</v>
      </c>
      <c r="E219" s="98" t="s">
        <v>286</v>
      </c>
      <c r="F219" s="98">
        <v>20</v>
      </c>
      <c r="G219" s="100">
        <v>38.61</v>
      </c>
      <c r="H219" s="101">
        <f t="shared" si="3"/>
        <v>772.2</v>
      </c>
    </row>
    <row r="220" spans="1:8" ht="24.75" thickBot="1" x14ac:dyDescent="0.3">
      <c r="A220" s="97">
        <v>22</v>
      </c>
      <c r="B220" s="98" t="s">
        <v>241</v>
      </c>
      <c r="C220" s="98">
        <v>7588</v>
      </c>
      <c r="D220" s="99" t="s">
        <v>480</v>
      </c>
      <c r="E220" s="98" t="s">
        <v>286</v>
      </c>
      <c r="F220" s="98">
        <v>4</v>
      </c>
      <c r="G220" s="100">
        <v>52.7</v>
      </c>
      <c r="H220" s="101">
        <f t="shared" si="3"/>
        <v>210.8</v>
      </c>
    </row>
    <row r="221" spans="1:8" ht="24.75" thickBot="1" x14ac:dyDescent="0.3">
      <c r="A221" s="97">
        <v>23</v>
      </c>
      <c r="B221" s="98" t="s">
        <v>241</v>
      </c>
      <c r="C221" s="98">
        <v>6140</v>
      </c>
      <c r="D221" s="99" t="s">
        <v>481</v>
      </c>
      <c r="E221" s="98" t="s">
        <v>286</v>
      </c>
      <c r="F221" s="98">
        <v>4</v>
      </c>
      <c r="G221" s="100">
        <v>4.1500000000000004</v>
      </c>
      <c r="H221" s="101">
        <f t="shared" si="3"/>
        <v>16.600000000000001</v>
      </c>
    </row>
    <row r="222" spans="1:8" ht="24.75" thickBot="1" x14ac:dyDescent="0.3">
      <c r="A222" s="97">
        <v>24</v>
      </c>
      <c r="B222" s="98" t="s">
        <v>241</v>
      </c>
      <c r="C222" s="98">
        <v>11685</v>
      </c>
      <c r="D222" s="99" t="s">
        <v>482</v>
      </c>
      <c r="E222" s="98" t="s">
        <v>286</v>
      </c>
      <c r="F222" s="98">
        <v>4</v>
      </c>
      <c r="G222" s="100">
        <v>34.93</v>
      </c>
      <c r="H222" s="101">
        <f t="shared" si="3"/>
        <v>139.72</v>
      </c>
    </row>
    <row r="223" spans="1:8" ht="24.75" thickBot="1" x14ac:dyDescent="0.3">
      <c r="A223" s="97">
        <v>25</v>
      </c>
      <c r="B223" s="98" t="s">
        <v>241</v>
      </c>
      <c r="C223" s="98">
        <v>5103</v>
      </c>
      <c r="D223" s="99" t="s">
        <v>483</v>
      </c>
      <c r="E223" s="98" t="s">
        <v>286</v>
      </c>
      <c r="F223" s="98">
        <v>5</v>
      </c>
      <c r="G223" s="100">
        <v>22.44</v>
      </c>
      <c r="H223" s="101">
        <f t="shared" si="3"/>
        <v>112.2</v>
      </c>
    </row>
    <row r="224" spans="1:8" ht="36.75" thickBot="1" x14ac:dyDescent="0.3">
      <c r="A224" s="97">
        <v>26</v>
      </c>
      <c r="B224" s="98" t="s">
        <v>241</v>
      </c>
      <c r="C224" s="98">
        <v>11712</v>
      </c>
      <c r="D224" s="99" t="s">
        <v>484</v>
      </c>
      <c r="E224" s="98" t="s">
        <v>286</v>
      </c>
      <c r="F224" s="98">
        <v>20</v>
      </c>
      <c r="G224" s="100">
        <v>42</v>
      </c>
      <c r="H224" s="101">
        <f t="shared" si="3"/>
        <v>840</v>
      </c>
    </row>
    <row r="225" spans="1:8" ht="24.75" thickBot="1" x14ac:dyDescent="0.3">
      <c r="A225" s="97">
        <v>27</v>
      </c>
      <c r="B225" s="98" t="s">
        <v>241</v>
      </c>
      <c r="C225" s="98">
        <v>11717</v>
      </c>
      <c r="D225" s="99" t="s">
        <v>485</v>
      </c>
      <c r="E225" s="98" t="s">
        <v>286</v>
      </c>
      <c r="F225" s="98">
        <v>5</v>
      </c>
      <c r="G225" s="100">
        <v>50.63</v>
      </c>
      <c r="H225" s="101">
        <f t="shared" si="3"/>
        <v>253.15</v>
      </c>
    </row>
    <row r="226" spans="1:8" ht="24.75" thickBot="1" x14ac:dyDescent="0.3">
      <c r="A226" s="97">
        <v>28</v>
      </c>
      <c r="B226" s="98" t="s">
        <v>241</v>
      </c>
      <c r="C226" s="98">
        <v>34636</v>
      </c>
      <c r="D226" s="99" t="s">
        <v>486</v>
      </c>
      <c r="E226" s="98" t="s">
        <v>286</v>
      </c>
      <c r="F226" s="98">
        <v>1</v>
      </c>
      <c r="G226" s="100">
        <v>397.4</v>
      </c>
      <c r="H226" s="101">
        <f t="shared" si="3"/>
        <v>397.4</v>
      </c>
    </row>
    <row r="227" spans="1:8" ht="24.75" thickBot="1" x14ac:dyDescent="0.3">
      <c r="A227" s="97">
        <v>29</v>
      </c>
      <c r="B227" s="98" t="s">
        <v>241</v>
      </c>
      <c r="C227" s="98">
        <v>34639</v>
      </c>
      <c r="D227" s="99" t="s">
        <v>487</v>
      </c>
      <c r="E227" s="98" t="s">
        <v>286</v>
      </c>
      <c r="F227" s="98">
        <v>1</v>
      </c>
      <c r="G227" s="100">
        <v>917.12</v>
      </c>
      <c r="H227" s="101">
        <f t="shared" si="3"/>
        <v>917.12</v>
      </c>
    </row>
    <row r="228" spans="1:8" ht="24.75" thickBot="1" x14ac:dyDescent="0.3">
      <c r="A228" s="97">
        <v>30</v>
      </c>
      <c r="B228" s="98" t="s">
        <v>241</v>
      </c>
      <c r="C228" s="98">
        <v>34640</v>
      </c>
      <c r="D228" s="99" t="s">
        <v>488</v>
      </c>
      <c r="E228" s="98" t="s">
        <v>286</v>
      </c>
      <c r="F228" s="98">
        <v>1</v>
      </c>
      <c r="G228" s="100">
        <v>1040.5</v>
      </c>
      <c r="H228" s="101">
        <f t="shared" si="3"/>
        <v>1040.5</v>
      </c>
    </row>
    <row r="229" spans="1:8" ht="36.75" thickBot="1" x14ac:dyDescent="0.3">
      <c r="A229" s="97">
        <v>31</v>
      </c>
      <c r="B229" s="98" t="s">
        <v>241</v>
      </c>
      <c r="C229" s="98">
        <v>1368</v>
      </c>
      <c r="D229" s="99" t="s">
        <v>489</v>
      </c>
      <c r="E229" s="98" t="s">
        <v>286</v>
      </c>
      <c r="F229" s="98">
        <v>5</v>
      </c>
      <c r="G229" s="100">
        <v>93.9</v>
      </c>
      <c r="H229" s="101">
        <f t="shared" si="3"/>
        <v>469.5</v>
      </c>
    </row>
    <row r="230" spans="1:8" ht="24.75" thickBot="1" x14ac:dyDescent="0.3">
      <c r="A230" s="97">
        <v>32</v>
      </c>
      <c r="B230" s="98" t="s">
        <v>241</v>
      </c>
      <c r="C230" s="98">
        <v>1197</v>
      </c>
      <c r="D230" s="99" t="s">
        <v>490</v>
      </c>
      <c r="E230" s="98" t="s">
        <v>286</v>
      </c>
      <c r="F230" s="98">
        <v>5</v>
      </c>
      <c r="G230" s="100">
        <v>1.51</v>
      </c>
      <c r="H230" s="101">
        <f t="shared" si="3"/>
        <v>7.55</v>
      </c>
    </row>
    <row r="231" spans="1:8" ht="24.75" thickBot="1" x14ac:dyDescent="0.3">
      <c r="A231" s="97">
        <v>33</v>
      </c>
      <c r="B231" s="98" t="s">
        <v>241</v>
      </c>
      <c r="C231" s="98">
        <v>1198</v>
      </c>
      <c r="D231" s="99" t="s">
        <v>491</v>
      </c>
      <c r="E231" s="98" t="s">
        <v>286</v>
      </c>
      <c r="F231" s="98">
        <v>5</v>
      </c>
      <c r="G231" s="100">
        <v>1.97</v>
      </c>
      <c r="H231" s="101">
        <f t="shared" si="3"/>
        <v>9.85</v>
      </c>
    </row>
    <row r="232" spans="1:8" ht="24.75" thickBot="1" x14ac:dyDescent="0.3">
      <c r="A232" s="97">
        <v>34</v>
      </c>
      <c r="B232" s="98" t="s">
        <v>241</v>
      </c>
      <c r="C232" s="98">
        <v>1202</v>
      </c>
      <c r="D232" s="99" t="s">
        <v>492</v>
      </c>
      <c r="E232" s="98" t="s">
        <v>286</v>
      </c>
      <c r="F232" s="98">
        <v>5</v>
      </c>
      <c r="G232" s="100">
        <v>4.2699999999999996</v>
      </c>
      <c r="H232" s="101">
        <f t="shared" si="3"/>
        <v>21.349999999999998</v>
      </c>
    </row>
    <row r="233" spans="1:8" ht="24.75" thickBot="1" x14ac:dyDescent="0.3">
      <c r="A233" s="97">
        <v>35</v>
      </c>
      <c r="B233" s="98" t="s">
        <v>241</v>
      </c>
      <c r="C233" s="98">
        <v>1185</v>
      </c>
      <c r="D233" s="99" t="s">
        <v>493</v>
      </c>
      <c r="E233" s="98" t="s">
        <v>286</v>
      </c>
      <c r="F233" s="98">
        <v>10</v>
      </c>
      <c r="G233" s="100">
        <v>1.07</v>
      </c>
      <c r="H233" s="101">
        <f t="shared" si="3"/>
        <v>10.700000000000001</v>
      </c>
    </row>
    <row r="234" spans="1:8" ht="24.75" thickBot="1" x14ac:dyDescent="0.3">
      <c r="A234" s="97">
        <v>36</v>
      </c>
      <c r="B234" s="98" t="s">
        <v>241</v>
      </c>
      <c r="C234" s="98">
        <v>1189</v>
      </c>
      <c r="D234" s="99" t="s">
        <v>494</v>
      </c>
      <c r="E234" s="98" t="s">
        <v>286</v>
      </c>
      <c r="F234" s="98">
        <v>5</v>
      </c>
      <c r="G234" s="100">
        <v>1.76</v>
      </c>
      <c r="H234" s="101">
        <f t="shared" si="3"/>
        <v>8.8000000000000007</v>
      </c>
    </row>
    <row r="235" spans="1:8" ht="24.75" thickBot="1" x14ac:dyDescent="0.3">
      <c r="A235" s="97">
        <v>37</v>
      </c>
      <c r="B235" s="98" t="s">
        <v>241</v>
      </c>
      <c r="C235" s="98">
        <v>1193</v>
      </c>
      <c r="D235" s="99" t="s">
        <v>495</v>
      </c>
      <c r="E235" s="98" t="s">
        <v>286</v>
      </c>
      <c r="F235" s="98">
        <v>5</v>
      </c>
      <c r="G235" s="100">
        <v>3.38</v>
      </c>
      <c r="H235" s="101">
        <f t="shared" si="3"/>
        <v>16.899999999999999</v>
      </c>
    </row>
    <row r="236" spans="1:8" ht="48.75" thickBot="1" x14ac:dyDescent="0.3">
      <c r="A236" s="97">
        <v>38</v>
      </c>
      <c r="B236" s="98" t="s">
        <v>241</v>
      </c>
      <c r="C236" s="98">
        <v>11686</v>
      </c>
      <c r="D236" s="99" t="s">
        <v>496</v>
      </c>
      <c r="E236" s="98" t="s">
        <v>286</v>
      </c>
      <c r="F236" s="98">
        <v>10</v>
      </c>
      <c r="G236" s="100">
        <v>10.49</v>
      </c>
      <c r="H236" s="101">
        <f t="shared" si="3"/>
        <v>104.9</v>
      </c>
    </row>
    <row r="237" spans="1:8" ht="36.75" thickBot="1" x14ac:dyDescent="0.3">
      <c r="A237" s="97">
        <v>39</v>
      </c>
      <c r="B237" s="98" t="s">
        <v>241</v>
      </c>
      <c r="C237" s="98">
        <v>1743</v>
      </c>
      <c r="D237" s="99" t="s">
        <v>497</v>
      </c>
      <c r="E237" s="98" t="s">
        <v>286</v>
      </c>
      <c r="F237" s="98">
        <v>4</v>
      </c>
      <c r="G237" s="100">
        <v>181.31</v>
      </c>
      <c r="H237" s="101">
        <f t="shared" si="3"/>
        <v>725.24</v>
      </c>
    </row>
    <row r="238" spans="1:8" ht="36.75" thickBot="1" x14ac:dyDescent="0.3">
      <c r="A238" s="97">
        <v>40</v>
      </c>
      <c r="B238" s="98" t="s">
        <v>241</v>
      </c>
      <c r="C238" s="98">
        <v>1926</v>
      </c>
      <c r="D238" s="99" t="s">
        <v>498</v>
      </c>
      <c r="E238" s="98" t="s">
        <v>286</v>
      </c>
      <c r="F238" s="98">
        <v>10</v>
      </c>
      <c r="G238" s="100">
        <v>1.88</v>
      </c>
      <c r="H238" s="101">
        <f t="shared" si="3"/>
        <v>18.799999999999997</v>
      </c>
    </row>
    <row r="239" spans="1:8" ht="36.75" thickBot="1" x14ac:dyDescent="0.3">
      <c r="A239" s="97">
        <v>41</v>
      </c>
      <c r="B239" s="98" t="s">
        <v>241</v>
      </c>
      <c r="C239" s="98">
        <v>1927</v>
      </c>
      <c r="D239" s="99" t="s">
        <v>499</v>
      </c>
      <c r="E239" s="98" t="s">
        <v>286</v>
      </c>
      <c r="F239" s="98">
        <v>10</v>
      </c>
      <c r="G239" s="100">
        <v>2.11</v>
      </c>
      <c r="H239" s="101">
        <f t="shared" si="3"/>
        <v>21.099999999999998</v>
      </c>
    </row>
    <row r="240" spans="1:8" ht="36.75" thickBot="1" x14ac:dyDescent="0.3">
      <c r="A240" s="97">
        <v>42</v>
      </c>
      <c r="B240" s="98" t="s">
        <v>241</v>
      </c>
      <c r="C240" s="98">
        <v>1923</v>
      </c>
      <c r="D240" s="99" t="s">
        <v>500</v>
      </c>
      <c r="E240" s="98" t="s">
        <v>286</v>
      </c>
      <c r="F240" s="98">
        <v>10</v>
      </c>
      <c r="G240" s="100">
        <v>3.84</v>
      </c>
      <c r="H240" s="101">
        <f t="shared" si="3"/>
        <v>38.4</v>
      </c>
    </row>
    <row r="241" spans="1:8" ht="36.75" thickBot="1" x14ac:dyDescent="0.3">
      <c r="A241" s="97">
        <v>43</v>
      </c>
      <c r="B241" s="98" t="s">
        <v>241</v>
      </c>
      <c r="C241" s="98">
        <v>1929</v>
      </c>
      <c r="D241" s="99" t="s">
        <v>501</v>
      </c>
      <c r="E241" s="98" t="s">
        <v>286</v>
      </c>
      <c r="F241" s="98">
        <v>5</v>
      </c>
      <c r="G241" s="100">
        <v>4.66</v>
      </c>
      <c r="H241" s="101">
        <f t="shared" si="3"/>
        <v>23.3</v>
      </c>
    </row>
    <row r="242" spans="1:8" ht="36.75" thickBot="1" x14ac:dyDescent="0.3">
      <c r="A242" s="97">
        <v>44</v>
      </c>
      <c r="B242" s="98" t="s">
        <v>241</v>
      </c>
      <c r="C242" s="98">
        <v>1930</v>
      </c>
      <c r="D242" s="99" t="s">
        <v>502</v>
      </c>
      <c r="E242" s="98" t="s">
        <v>286</v>
      </c>
      <c r="F242" s="98">
        <v>5</v>
      </c>
      <c r="G242" s="100">
        <v>7.97</v>
      </c>
      <c r="H242" s="101">
        <f t="shared" si="3"/>
        <v>39.85</v>
      </c>
    </row>
    <row r="243" spans="1:8" ht="36.75" thickBot="1" x14ac:dyDescent="0.3">
      <c r="A243" s="97">
        <v>45</v>
      </c>
      <c r="B243" s="98" t="s">
        <v>241</v>
      </c>
      <c r="C243" s="98">
        <v>1924</v>
      </c>
      <c r="D243" s="99" t="s">
        <v>503</v>
      </c>
      <c r="E243" s="98" t="s">
        <v>286</v>
      </c>
      <c r="F243" s="98">
        <v>2</v>
      </c>
      <c r="G243" s="100">
        <v>12.87</v>
      </c>
      <c r="H243" s="101">
        <f t="shared" si="3"/>
        <v>25.74</v>
      </c>
    </row>
    <row r="244" spans="1:8" ht="36.75" thickBot="1" x14ac:dyDescent="0.3">
      <c r="A244" s="97">
        <v>46</v>
      </c>
      <c r="B244" s="98" t="s">
        <v>241</v>
      </c>
      <c r="C244" s="98">
        <v>1922</v>
      </c>
      <c r="D244" s="99" t="s">
        <v>504</v>
      </c>
      <c r="E244" s="98" t="s">
        <v>286</v>
      </c>
      <c r="F244" s="98">
        <v>2</v>
      </c>
      <c r="G244" s="100">
        <v>26.61</v>
      </c>
      <c r="H244" s="101">
        <f t="shared" si="3"/>
        <v>53.22</v>
      </c>
    </row>
    <row r="245" spans="1:8" ht="36.75" thickBot="1" x14ac:dyDescent="0.3">
      <c r="A245" s="97">
        <v>47</v>
      </c>
      <c r="B245" s="98" t="s">
        <v>241</v>
      </c>
      <c r="C245" s="98">
        <v>1960</v>
      </c>
      <c r="D245" s="99" t="s">
        <v>505</v>
      </c>
      <c r="E245" s="98" t="s">
        <v>274</v>
      </c>
      <c r="F245" s="98">
        <v>4</v>
      </c>
      <c r="G245" s="100">
        <v>45</v>
      </c>
      <c r="H245" s="101">
        <f t="shared" si="3"/>
        <v>180</v>
      </c>
    </row>
    <row r="246" spans="1:8" ht="36.75" thickBot="1" x14ac:dyDescent="0.3">
      <c r="A246" s="97">
        <v>48</v>
      </c>
      <c r="B246" s="98" t="s">
        <v>241</v>
      </c>
      <c r="C246" s="98">
        <v>1956</v>
      </c>
      <c r="D246" s="99" t="s">
        <v>506</v>
      </c>
      <c r="E246" s="98" t="s">
        <v>274</v>
      </c>
      <c r="F246" s="98">
        <v>4</v>
      </c>
      <c r="G246" s="100">
        <v>2.56</v>
      </c>
      <c r="H246" s="101">
        <f t="shared" si="3"/>
        <v>10.24</v>
      </c>
    </row>
    <row r="247" spans="1:8" ht="36.75" thickBot="1" x14ac:dyDescent="0.3">
      <c r="A247" s="97">
        <v>49</v>
      </c>
      <c r="B247" s="98" t="s">
        <v>241</v>
      </c>
      <c r="C247" s="98">
        <v>1957</v>
      </c>
      <c r="D247" s="99" t="s">
        <v>507</v>
      </c>
      <c r="E247" s="98" t="s">
        <v>274</v>
      </c>
      <c r="F247" s="98">
        <v>4</v>
      </c>
      <c r="G247" s="100">
        <v>5.55</v>
      </c>
      <c r="H247" s="101">
        <f t="shared" si="3"/>
        <v>22.2</v>
      </c>
    </row>
    <row r="248" spans="1:8" ht="36.75" thickBot="1" x14ac:dyDescent="0.3">
      <c r="A248" s="97">
        <v>50</v>
      </c>
      <c r="B248" s="98" t="s">
        <v>241</v>
      </c>
      <c r="C248" s="98">
        <v>1958</v>
      </c>
      <c r="D248" s="99" t="s">
        <v>508</v>
      </c>
      <c r="E248" s="98" t="s">
        <v>274</v>
      </c>
      <c r="F248" s="98">
        <v>4</v>
      </c>
      <c r="G248" s="100">
        <v>10.33</v>
      </c>
      <c r="H248" s="101">
        <f t="shared" si="3"/>
        <v>41.32</v>
      </c>
    </row>
    <row r="249" spans="1:8" ht="36.75" thickBot="1" x14ac:dyDescent="0.3">
      <c r="A249" s="97">
        <v>51</v>
      </c>
      <c r="B249" s="98" t="s">
        <v>241</v>
      </c>
      <c r="C249" s="98">
        <v>1959</v>
      </c>
      <c r="D249" s="99" t="s">
        <v>509</v>
      </c>
      <c r="E249" s="98" t="s">
        <v>274</v>
      </c>
      <c r="F249" s="98">
        <v>20</v>
      </c>
      <c r="G249" s="100">
        <v>11.21</v>
      </c>
      <c r="H249" s="101">
        <f t="shared" si="3"/>
        <v>224.20000000000002</v>
      </c>
    </row>
    <row r="250" spans="1:8" ht="36.75" thickBot="1" x14ac:dyDescent="0.3">
      <c r="A250" s="97">
        <v>52</v>
      </c>
      <c r="B250" s="98" t="s">
        <v>241</v>
      </c>
      <c r="C250" s="98">
        <v>1925</v>
      </c>
      <c r="D250" s="99" t="s">
        <v>510</v>
      </c>
      <c r="E250" s="98" t="s">
        <v>274</v>
      </c>
      <c r="F250" s="98">
        <v>4</v>
      </c>
      <c r="G250" s="100">
        <v>29.31</v>
      </c>
      <c r="H250" s="101">
        <f t="shared" si="3"/>
        <v>117.24</v>
      </c>
    </row>
    <row r="251" spans="1:8" ht="24.75" thickBot="1" x14ac:dyDescent="0.3">
      <c r="A251" s="97">
        <v>53</v>
      </c>
      <c r="B251" s="98" t="s">
        <v>241</v>
      </c>
      <c r="C251" s="98">
        <v>1966</v>
      </c>
      <c r="D251" s="99" t="s">
        <v>511</v>
      </c>
      <c r="E251" s="98" t="s">
        <v>274</v>
      </c>
      <c r="F251" s="98">
        <v>20</v>
      </c>
      <c r="G251" s="100">
        <v>21.68</v>
      </c>
      <c r="H251" s="101">
        <f t="shared" si="3"/>
        <v>433.6</v>
      </c>
    </row>
    <row r="252" spans="1:8" ht="24.75" thickBot="1" x14ac:dyDescent="0.3">
      <c r="A252" s="97">
        <v>54</v>
      </c>
      <c r="B252" s="98" t="s">
        <v>241</v>
      </c>
      <c r="C252" s="98">
        <v>1933</v>
      </c>
      <c r="D252" s="99" t="s">
        <v>512</v>
      </c>
      <c r="E252" s="98" t="s">
        <v>274</v>
      </c>
      <c r="F252" s="98">
        <v>4</v>
      </c>
      <c r="G252" s="100">
        <v>4.67</v>
      </c>
      <c r="H252" s="101">
        <f t="shared" si="3"/>
        <v>18.68</v>
      </c>
    </row>
    <row r="253" spans="1:8" ht="24.75" thickBot="1" x14ac:dyDescent="0.3">
      <c r="A253" s="97">
        <v>55</v>
      </c>
      <c r="B253" s="98" t="s">
        <v>241</v>
      </c>
      <c r="C253" s="98">
        <v>11684</v>
      </c>
      <c r="D253" s="99" t="s">
        <v>513</v>
      </c>
      <c r="E253" s="98" t="s">
        <v>286</v>
      </c>
      <c r="F253" s="98">
        <v>10</v>
      </c>
      <c r="G253" s="100">
        <v>54.22</v>
      </c>
      <c r="H253" s="101">
        <f t="shared" si="3"/>
        <v>542.20000000000005</v>
      </c>
    </row>
    <row r="254" spans="1:8" ht="24.75" thickBot="1" x14ac:dyDescent="0.3">
      <c r="A254" s="97">
        <v>56</v>
      </c>
      <c r="B254" s="98" t="s">
        <v>241</v>
      </c>
      <c r="C254" s="98">
        <v>11683</v>
      </c>
      <c r="D254" s="99" t="s">
        <v>514</v>
      </c>
      <c r="E254" s="98" t="s">
        <v>286</v>
      </c>
      <c r="F254" s="98">
        <v>10</v>
      </c>
      <c r="G254" s="100">
        <v>49.53</v>
      </c>
      <c r="H254" s="101">
        <f t="shared" si="3"/>
        <v>495.3</v>
      </c>
    </row>
    <row r="255" spans="1:8" ht="24.75" thickBot="1" x14ac:dyDescent="0.3">
      <c r="A255" s="97">
        <v>57</v>
      </c>
      <c r="B255" s="98" t="s">
        <v>241</v>
      </c>
      <c r="C255" s="98">
        <v>3146</v>
      </c>
      <c r="D255" s="99" t="s">
        <v>515</v>
      </c>
      <c r="E255" s="98" t="s">
        <v>286</v>
      </c>
      <c r="F255" s="98">
        <v>20</v>
      </c>
      <c r="G255" s="100">
        <v>3.95</v>
      </c>
      <c r="H255" s="101">
        <f t="shared" si="3"/>
        <v>79</v>
      </c>
    </row>
    <row r="256" spans="1:8" ht="36.75" thickBot="1" x14ac:dyDescent="0.3">
      <c r="A256" s="97">
        <v>58</v>
      </c>
      <c r="B256" s="98" t="s">
        <v>241</v>
      </c>
      <c r="C256" s="98">
        <v>3533</v>
      </c>
      <c r="D256" s="99" t="s">
        <v>516</v>
      </c>
      <c r="E256" s="98" t="s">
        <v>286</v>
      </c>
      <c r="F256" s="98">
        <v>5</v>
      </c>
      <c r="G256" s="100">
        <v>2.35</v>
      </c>
      <c r="H256" s="101">
        <f t="shared" si="3"/>
        <v>11.75</v>
      </c>
    </row>
    <row r="257" spans="1:8" ht="36.75" thickBot="1" x14ac:dyDescent="0.3">
      <c r="A257" s="97">
        <v>59</v>
      </c>
      <c r="B257" s="98" t="s">
        <v>241</v>
      </c>
      <c r="C257" s="98">
        <v>3538</v>
      </c>
      <c r="D257" s="99" t="s">
        <v>517</v>
      </c>
      <c r="E257" s="98" t="s">
        <v>286</v>
      </c>
      <c r="F257" s="98">
        <v>5</v>
      </c>
      <c r="G257" s="100">
        <v>4.45</v>
      </c>
      <c r="H257" s="101">
        <f t="shared" si="3"/>
        <v>22.25</v>
      </c>
    </row>
    <row r="258" spans="1:8" ht="36.75" thickBot="1" x14ac:dyDescent="0.3">
      <c r="A258" s="97">
        <v>60</v>
      </c>
      <c r="B258" s="98" t="s">
        <v>241</v>
      </c>
      <c r="C258" s="98">
        <v>3496</v>
      </c>
      <c r="D258" s="99" t="s">
        <v>518</v>
      </c>
      <c r="E258" s="98" t="s">
        <v>286</v>
      </c>
      <c r="F258" s="98">
        <v>5</v>
      </c>
      <c r="G258" s="100">
        <v>2.89</v>
      </c>
      <c r="H258" s="101">
        <f t="shared" si="3"/>
        <v>14.450000000000001</v>
      </c>
    </row>
    <row r="259" spans="1:8" ht="24.75" thickBot="1" x14ac:dyDescent="0.3">
      <c r="A259" s="97">
        <v>61</v>
      </c>
      <c r="B259" s="98" t="s">
        <v>241</v>
      </c>
      <c r="C259" s="98">
        <v>3529</v>
      </c>
      <c r="D259" s="99" t="s">
        <v>519</v>
      </c>
      <c r="E259" s="98" t="s">
        <v>274</v>
      </c>
      <c r="F259" s="98">
        <v>20</v>
      </c>
      <c r="G259" s="100">
        <v>0.92</v>
      </c>
      <c r="H259" s="101">
        <f t="shared" si="3"/>
        <v>18.400000000000002</v>
      </c>
    </row>
    <row r="260" spans="1:8" ht="24.75" thickBot="1" x14ac:dyDescent="0.3">
      <c r="A260" s="97">
        <v>62</v>
      </c>
      <c r="B260" s="98" t="s">
        <v>241</v>
      </c>
      <c r="C260" s="98">
        <v>3536</v>
      </c>
      <c r="D260" s="99" t="s">
        <v>520</v>
      </c>
      <c r="E260" s="98" t="s">
        <v>274</v>
      </c>
      <c r="F260" s="98">
        <v>20</v>
      </c>
      <c r="G260" s="100">
        <v>2.08</v>
      </c>
      <c r="H260" s="101">
        <f t="shared" si="3"/>
        <v>41.6</v>
      </c>
    </row>
    <row r="261" spans="1:8" ht="24.75" thickBot="1" x14ac:dyDescent="0.3">
      <c r="A261" s="97">
        <v>63</v>
      </c>
      <c r="B261" s="98" t="s">
        <v>241</v>
      </c>
      <c r="C261" s="98">
        <v>3535</v>
      </c>
      <c r="D261" s="99" t="s">
        <v>521</v>
      </c>
      <c r="E261" s="98" t="s">
        <v>274</v>
      </c>
      <c r="F261" s="98">
        <v>4</v>
      </c>
      <c r="G261" s="100">
        <v>5.07</v>
      </c>
      <c r="H261" s="101">
        <f t="shared" si="3"/>
        <v>20.28</v>
      </c>
    </row>
    <row r="262" spans="1:8" ht="24.75" thickBot="1" x14ac:dyDescent="0.3">
      <c r="A262" s="97">
        <v>64</v>
      </c>
      <c r="B262" s="98" t="s">
        <v>241</v>
      </c>
      <c r="C262" s="98">
        <v>3540</v>
      </c>
      <c r="D262" s="99" t="s">
        <v>522</v>
      </c>
      <c r="E262" s="98" t="s">
        <v>274</v>
      </c>
      <c r="F262" s="98">
        <v>20</v>
      </c>
      <c r="G262" s="100">
        <v>4.29</v>
      </c>
      <c r="H262" s="101">
        <f t="shared" si="3"/>
        <v>85.8</v>
      </c>
    </row>
    <row r="263" spans="1:8" ht="24.75" thickBot="1" x14ac:dyDescent="0.3">
      <c r="A263" s="97">
        <v>65</v>
      </c>
      <c r="B263" s="98" t="s">
        <v>241</v>
      </c>
      <c r="C263" s="98">
        <v>3539</v>
      </c>
      <c r="D263" s="99" t="s">
        <v>523</v>
      </c>
      <c r="E263" s="98" t="s">
        <v>274</v>
      </c>
      <c r="F263" s="98">
        <v>10</v>
      </c>
      <c r="G263" s="100">
        <v>24.88</v>
      </c>
      <c r="H263" s="101">
        <f t="shared" si="3"/>
        <v>248.79999999999998</v>
      </c>
    </row>
    <row r="264" spans="1:8" ht="36.75" thickBot="1" x14ac:dyDescent="0.3">
      <c r="A264" s="97">
        <v>66</v>
      </c>
      <c r="B264" s="98" t="s">
        <v>241</v>
      </c>
      <c r="C264" s="98">
        <v>20147</v>
      </c>
      <c r="D264" s="99" t="s">
        <v>524</v>
      </c>
      <c r="E264" s="98" t="s">
        <v>274</v>
      </c>
      <c r="F264" s="98">
        <v>20</v>
      </c>
      <c r="G264" s="100">
        <v>4.5999999999999996</v>
      </c>
      <c r="H264" s="101">
        <f t="shared" ref="H264:H327" si="4">G264*F264</f>
        <v>92</v>
      </c>
    </row>
    <row r="265" spans="1:8" ht="24.75" thickBot="1" x14ac:dyDescent="0.3">
      <c r="A265" s="97">
        <v>67</v>
      </c>
      <c r="B265" s="98" t="s">
        <v>241</v>
      </c>
      <c r="C265" s="98">
        <v>3528</v>
      </c>
      <c r="D265" s="99" t="s">
        <v>525</v>
      </c>
      <c r="E265" s="98" t="s">
        <v>274</v>
      </c>
      <c r="F265" s="98">
        <v>10</v>
      </c>
      <c r="G265" s="100">
        <v>8.5</v>
      </c>
      <c r="H265" s="101">
        <f t="shared" si="4"/>
        <v>85</v>
      </c>
    </row>
    <row r="266" spans="1:8" ht="24.75" thickBot="1" x14ac:dyDescent="0.3">
      <c r="A266" s="97">
        <v>68</v>
      </c>
      <c r="B266" s="98" t="s">
        <v>241</v>
      </c>
      <c r="C266" s="98">
        <v>37951</v>
      </c>
      <c r="D266" s="99" t="s">
        <v>526</v>
      </c>
      <c r="E266" s="98" t="s">
        <v>274</v>
      </c>
      <c r="F266" s="98">
        <v>20</v>
      </c>
      <c r="G266" s="100">
        <v>2.29</v>
      </c>
      <c r="H266" s="101">
        <f t="shared" si="4"/>
        <v>45.8</v>
      </c>
    </row>
    <row r="267" spans="1:8" ht="24.75" thickBot="1" x14ac:dyDescent="0.3">
      <c r="A267" s="97">
        <v>69</v>
      </c>
      <c r="B267" s="98" t="s">
        <v>241</v>
      </c>
      <c r="C267" s="98">
        <v>3518</v>
      </c>
      <c r="D267" s="99" t="s">
        <v>527</v>
      </c>
      <c r="E267" s="98" t="s">
        <v>274</v>
      </c>
      <c r="F267" s="98">
        <v>10</v>
      </c>
      <c r="G267" s="100">
        <v>3.52</v>
      </c>
      <c r="H267" s="101">
        <f t="shared" si="4"/>
        <v>35.200000000000003</v>
      </c>
    </row>
    <row r="268" spans="1:8" ht="24.75" thickBot="1" x14ac:dyDescent="0.3">
      <c r="A268" s="97">
        <v>70</v>
      </c>
      <c r="B268" s="98" t="s">
        <v>241</v>
      </c>
      <c r="C268" s="98">
        <v>3519</v>
      </c>
      <c r="D268" s="99" t="s">
        <v>528</v>
      </c>
      <c r="E268" s="98" t="s">
        <v>274</v>
      </c>
      <c r="F268" s="98">
        <v>4</v>
      </c>
      <c r="G268" s="100">
        <v>7.37</v>
      </c>
      <c r="H268" s="101">
        <f t="shared" si="4"/>
        <v>29.48</v>
      </c>
    </row>
    <row r="269" spans="1:8" ht="24.75" thickBot="1" x14ac:dyDescent="0.3">
      <c r="A269" s="97">
        <v>71</v>
      </c>
      <c r="B269" s="98" t="s">
        <v>241</v>
      </c>
      <c r="C269" s="98">
        <v>3526</v>
      </c>
      <c r="D269" s="99" t="s">
        <v>529</v>
      </c>
      <c r="E269" s="98" t="s">
        <v>274</v>
      </c>
      <c r="F269" s="98">
        <v>10</v>
      </c>
      <c r="G269" s="100">
        <v>2.84</v>
      </c>
      <c r="H269" s="101">
        <f t="shared" si="4"/>
        <v>28.4</v>
      </c>
    </row>
    <row r="270" spans="1:8" ht="36.75" thickBot="1" x14ac:dyDescent="0.3">
      <c r="A270" s="97">
        <v>72</v>
      </c>
      <c r="B270" s="98" t="s">
        <v>241</v>
      </c>
      <c r="C270" s="98">
        <v>20144</v>
      </c>
      <c r="D270" s="99" t="s">
        <v>530</v>
      </c>
      <c r="E270" s="98" t="s">
        <v>274</v>
      </c>
      <c r="F270" s="98">
        <v>10</v>
      </c>
      <c r="G270" s="100">
        <v>50.38</v>
      </c>
      <c r="H270" s="101">
        <f t="shared" si="4"/>
        <v>503.8</v>
      </c>
    </row>
    <row r="271" spans="1:8" ht="36.75" thickBot="1" x14ac:dyDescent="0.3">
      <c r="A271" s="97">
        <v>73</v>
      </c>
      <c r="B271" s="98" t="s">
        <v>241</v>
      </c>
      <c r="C271" s="98">
        <v>20143</v>
      </c>
      <c r="D271" s="99" t="s">
        <v>531</v>
      </c>
      <c r="E271" s="98" t="s">
        <v>274</v>
      </c>
      <c r="F271" s="98">
        <v>10</v>
      </c>
      <c r="G271" s="100">
        <v>64.459999999999994</v>
      </c>
      <c r="H271" s="101">
        <f t="shared" si="4"/>
        <v>644.59999999999991</v>
      </c>
    </row>
    <row r="272" spans="1:8" ht="36.75" thickBot="1" x14ac:dyDescent="0.3">
      <c r="A272" s="97">
        <v>74</v>
      </c>
      <c r="B272" s="98" t="s">
        <v>241</v>
      </c>
      <c r="C272" s="98">
        <v>20145</v>
      </c>
      <c r="D272" s="99" t="s">
        <v>532</v>
      </c>
      <c r="E272" s="98" t="s">
        <v>274</v>
      </c>
      <c r="F272" s="98">
        <v>5</v>
      </c>
      <c r="G272" s="100">
        <v>124.34</v>
      </c>
      <c r="H272" s="101">
        <f t="shared" si="4"/>
        <v>621.70000000000005</v>
      </c>
    </row>
    <row r="273" spans="1:8" ht="36.75" thickBot="1" x14ac:dyDescent="0.3">
      <c r="A273" s="97">
        <v>75</v>
      </c>
      <c r="B273" s="98" t="s">
        <v>241</v>
      </c>
      <c r="C273" s="98">
        <v>20146</v>
      </c>
      <c r="D273" s="99" t="s">
        <v>533</v>
      </c>
      <c r="E273" s="98" t="s">
        <v>274</v>
      </c>
      <c r="F273" s="98">
        <v>5</v>
      </c>
      <c r="G273" s="100">
        <v>169.97</v>
      </c>
      <c r="H273" s="101">
        <f t="shared" si="4"/>
        <v>849.85</v>
      </c>
    </row>
    <row r="274" spans="1:8" ht="36.75" thickBot="1" x14ac:dyDescent="0.3">
      <c r="A274" s="97">
        <v>76</v>
      </c>
      <c r="B274" s="98" t="s">
        <v>241</v>
      </c>
      <c r="C274" s="98">
        <v>20140</v>
      </c>
      <c r="D274" s="99" t="s">
        <v>534</v>
      </c>
      <c r="E274" s="98" t="s">
        <v>274</v>
      </c>
      <c r="F274" s="98">
        <v>8</v>
      </c>
      <c r="G274" s="100">
        <v>7.97</v>
      </c>
      <c r="H274" s="101">
        <f t="shared" si="4"/>
        <v>63.76</v>
      </c>
    </row>
    <row r="275" spans="1:8" ht="36.75" thickBot="1" x14ac:dyDescent="0.3">
      <c r="A275" s="97">
        <v>77</v>
      </c>
      <c r="B275" s="98" t="s">
        <v>241</v>
      </c>
      <c r="C275" s="98">
        <v>20141</v>
      </c>
      <c r="D275" s="99" t="s">
        <v>535</v>
      </c>
      <c r="E275" s="98" t="s">
        <v>274</v>
      </c>
      <c r="F275" s="98">
        <v>8</v>
      </c>
      <c r="G275" s="100">
        <v>19.53</v>
      </c>
      <c r="H275" s="101">
        <f t="shared" si="4"/>
        <v>156.24</v>
      </c>
    </row>
    <row r="276" spans="1:8" ht="36.75" thickBot="1" x14ac:dyDescent="0.3">
      <c r="A276" s="97">
        <v>78</v>
      </c>
      <c r="B276" s="98" t="s">
        <v>241</v>
      </c>
      <c r="C276" s="98">
        <v>20142</v>
      </c>
      <c r="D276" s="99" t="s">
        <v>536</v>
      </c>
      <c r="E276" s="98" t="s">
        <v>274</v>
      </c>
      <c r="F276" s="98">
        <v>5</v>
      </c>
      <c r="G276" s="100">
        <v>34.35</v>
      </c>
      <c r="H276" s="101">
        <f t="shared" si="4"/>
        <v>171.75</v>
      </c>
    </row>
    <row r="277" spans="1:8" ht="36.75" thickBot="1" x14ac:dyDescent="0.3">
      <c r="A277" s="97">
        <v>79</v>
      </c>
      <c r="B277" s="98" t="s">
        <v>241</v>
      </c>
      <c r="C277" s="98">
        <v>20269</v>
      </c>
      <c r="D277" s="99" t="s">
        <v>537</v>
      </c>
      <c r="E277" s="98" t="s">
        <v>286</v>
      </c>
      <c r="F277" s="98">
        <v>1</v>
      </c>
      <c r="G277" s="100">
        <v>94.09</v>
      </c>
      <c r="H277" s="101">
        <f t="shared" si="4"/>
        <v>94.09</v>
      </c>
    </row>
    <row r="278" spans="1:8" ht="24.75" thickBot="1" x14ac:dyDescent="0.3">
      <c r="A278" s="97">
        <v>80</v>
      </c>
      <c r="B278" s="98" t="s">
        <v>241</v>
      </c>
      <c r="C278" s="98">
        <v>3893</v>
      </c>
      <c r="D278" s="99" t="s">
        <v>538</v>
      </c>
      <c r="E278" s="98" t="s">
        <v>274</v>
      </c>
      <c r="F278" s="98">
        <v>10</v>
      </c>
      <c r="G278" s="100">
        <v>17.16</v>
      </c>
      <c r="H278" s="101">
        <f t="shared" si="4"/>
        <v>171.6</v>
      </c>
    </row>
    <row r="279" spans="1:8" ht="24.75" thickBot="1" x14ac:dyDescent="0.3">
      <c r="A279" s="97">
        <v>81</v>
      </c>
      <c r="B279" s="98" t="s">
        <v>241</v>
      </c>
      <c r="C279" s="98">
        <v>3895</v>
      </c>
      <c r="D279" s="99" t="s">
        <v>539</v>
      </c>
      <c r="E279" s="98" t="s">
        <v>274</v>
      </c>
      <c r="F279" s="98">
        <v>4</v>
      </c>
      <c r="G279" s="100">
        <v>11.62</v>
      </c>
      <c r="H279" s="101">
        <f t="shared" si="4"/>
        <v>46.48</v>
      </c>
    </row>
    <row r="280" spans="1:8" ht="24.75" thickBot="1" x14ac:dyDescent="0.3">
      <c r="A280" s="97">
        <v>82</v>
      </c>
      <c r="B280" s="98" t="s">
        <v>241</v>
      </c>
      <c r="C280" s="98">
        <v>20169</v>
      </c>
      <c r="D280" s="99" t="s">
        <v>540</v>
      </c>
      <c r="E280" s="98" t="s">
        <v>274</v>
      </c>
      <c r="F280" s="98">
        <v>5</v>
      </c>
      <c r="G280" s="100">
        <v>10.99</v>
      </c>
      <c r="H280" s="101">
        <f t="shared" si="4"/>
        <v>54.95</v>
      </c>
    </row>
    <row r="281" spans="1:8" ht="36.75" thickBot="1" x14ac:dyDescent="0.3">
      <c r="A281" s="97">
        <v>83</v>
      </c>
      <c r="B281" s="98" t="s">
        <v>241</v>
      </c>
      <c r="C281" s="98">
        <v>3897</v>
      </c>
      <c r="D281" s="99" t="s">
        <v>541</v>
      </c>
      <c r="E281" s="98" t="s">
        <v>274</v>
      </c>
      <c r="F281" s="98">
        <v>5</v>
      </c>
      <c r="G281" s="100">
        <v>1.49</v>
      </c>
      <c r="H281" s="101">
        <f t="shared" si="4"/>
        <v>7.45</v>
      </c>
    </row>
    <row r="282" spans="1:8" ht="24.75" thickBot="1" x14ac:dyDescent="0.3">
      <c r="A282" s="97">
        <v>84</v>
      </c>
      <c r="B282" s="98" t="s">
        <v>241</v>
      </c>
      <c r="C282" s="98">
        <v>3860</v>
      </c>
      <c r="D282" s="99" t="s">
        <v>542</v>
      </c>
      <c r="E282" s="98" t="s">
        <v>274</v>
      </c>
      <c r="F282" s="98">
        <v>5</v>
      </c>
      <c r="G282" s="100">
        <v>3.87</v>
      </c>
      <c r="H282" s="101">
        <f t="shared" si="4"/>
        <v>19.350000000000001</v>
      </c>
    </row>
    <row r="283" spans="1:8" ht="24.75" thickBot="1" x14ac:dyDescent="0.3">
      <c r="A283" s="97">
        <v>85</v>
      </c>
      <c r="B283" s="98" t="s">
        <v>241</v>
      </c>
      <c r="C283" s="98">
        <v>3905</v>
      </c>
      <c r="D283" s="99" t="s">
        <v>543</v>
      </c>
      <c r="E283" s="98" t="s">
        <v>274</v>
      </c>
      <c r="F283" s="98">
        <v>5</v>
      </c>
      <c r="G283" s="100">
        <v>8.8699999999999992</v>
      </c>
      <c r="H283" s="101">
        <f t="shared" si="4"/>
        <v>44.349999999999994</v>
      </c>
    </row>
    <row r="284" spans="1:8" ht="24.75" thickBot="1" x14ac:dyDescent="0.3">
      <c r="A284" s="97">
        <v>86</v>
      </c>
      <c r="B284" s="98" t="s">
        <v>241</v>
      </c>
      <c r="C284" s="98">
        <v>3871</v>
      </c>
      <c r="D284" s="99" t="s">
        <v>544</v>
      </c>
      <c r="E284" s="98" t="s">
        <v>274</v>
      </c>
      <c r="F284" s="98">
        <v>5</v>
      </c>
      <c r="G284" s="100">
        <v>15.7</v>
      </c>
      <c r="H284" s="101">
        <f t="shared" si="4"/>
        <v>78.5</v>
      </c>
    </row>
    <row r="285" spans="1:8" ht="24.75" thickBot="1" x14ac:dyDescent="0.3">
      <c r="A285" s="97">
        <v>87</v>
      </c>
      <c r="B285" s="98" t="s">
        <v>241</v>
      </c>
      <c r="C285" s="98">
        <v>4823</v>
      </c>
      <c r="D285" s="99" t="s">
        <v>366</v>
      </c>
      <c r="E285" s="98" t="s">
        <v>303</v>
      </c>
      <c r="F285" s="98">
        <v>2</v>
      </c>
      <c r="G285" s="100">
        <v>38.18</v>
      </c>
      <c r="H285" s="101">
        <f t="shared" si="4"/>
        <v>76.36</v>
      </c>
    </row>
    <row r="286" spans="1:8" ht="24.75" thickBot="1" x14ac:dyDescent="0.3">
      <c r="A286" s="97">
        <v>88</v>
      </c>
      <c r="B286" s="98" t="s">
        <v>241</v>
      </c>
      <c r="C286" s="98">
        <v>10432</v>
      </c>
      <c r="D286" s="99" t="s">
        <v>545</v>
      </c>
      <c r="E286" s="98" t="s">
        <v>286</v>
      </c>
      <c r="F286" s="98">
        <v>2</v>
      </c>
      <c r="G286" s="100">
        <v>383.06</v>
      </c>
      <c r="H286" s="101">
        <f t="shared" si="4"/>
        <v>766.12</v>
      </c>
    </row>
    <row r="287" spans="1:8" ht="48.75" thickBot="1" x14ac:dyDescent="0.3">
      <c r="A287" s="97">
        <v>89</v>
      </c>
      <c r="B287" s="98" t="s">
        <v>241</v>
      </c>
      <c r="C287" s="98">
        <v>20185</v>
      </c>
      <c r="D287" s="99" t="s">
        <v>546</v>
      </c>
      <c r="E287" s="98" t="s">
        <v>247</v>
      </c>
      <c r="F287" s="98">
        <v>20</v>
      </c>
      <c r="G287" s="100">
        <v>19.899999999999999</v>
      </c>
      <c r="H287" s="101">
        <f t="shared" si="4"/>
        <v>398</v>
      </c>
    </row>
    <row r="288" spans="1:8" ht="48.75" thickBot="1" x14ac:dyDescent="0.3">
      <c r="A288" s="97">
        <v>90</v>
      </c>
      <c r="B288" s="98" t="s">
        <v>241</v>
      </c>
      <c r="C288" s="98">
        <v>11955</v>
      </c>
      <c r="D288" s="99" t="s">
        <v>547</v>
      </c>
      <c r="E288" s="98" t="s">
        <v>286</v>
      </c>
      <c r="F288" s="98">
        <v>30</v>
      </c>
      <c r="G288" s="100">
        <v>4.6900000000000004</v>
      </c>
      <c r="H288" s="101">
        <f t="shared" si="4"/>
        <v>140.70000000000002</v>
      </c>
    </row>
    <row r="289" spans="1:8" ht="60.75" thickBot="1" x14ac:dyDescent="0.3">
      <c r="A289" s="97">
        <v>91</v>
      </c>
      <c r="B289" s="98" t="s">
        <v>241</v>
      </c>
      <c r="C289" s="98">
        <v>4351</v>
      </c>
      <c r="D289" s="99" t="s">
        <v>548</v>
      </c>
      <c r="E289" s="98" t="s">
        <v>286</v>
      </c>
      <c r="F289" s="98">
        <v>6</v>
      </c>
      <c r="G289" s="100">
        <v>17.64</v>
      </c>
      <c r="H289" s="101">
        <f t="shared" si="4"/>
        <v>105.84</v>
      </c>
    </row>
    <row r="290" spans="1:8" ht="24.75" thickBot="1" x14ac:dyDescent="0.3">
      <c r="A290" s="97">
        <v>92</v>
      </c>
      <c r="B290" s="98" t="s">
        <v>241</v>
      </c>
      <c r="C290" s="98">
        <v>11711</v>
      </c>
      <c r="D290" s="99" t="s">
        <v>549</v>
      </c>
      <c r="E290" s="98" t="s">
        <v>286</v>
      </c>
      <c r="F290" s="98">
        <v>5</v>
      </c>
      <c r="G290" s="100">
        <v>10.34</v>
      </c>
      <c r="H290" s="101">
        <f t="shared" si="4"/>
        <v>51.7</v>
      </c>
    </row>
    <row r="291" spans="1:8" ht="24.75" thickBot="1" x14ac:dyDescent="0.3">
      <c r="A291" s="97">
        <v>93</v>
      </c>
      <c r="B291" s="98" t="s">
        <v>241</v>
      </c>
      <c r="C291" s="98">
        <v>11739</v>
      </c>
      <c r="D291" s="99" t="s">
        <v>550</v>
      </c>
      <c r="E291" s="98" t="s">
        <v>286</v>
      </c>
      <c r="F291" s="98">
        <v>5</v>
      </c>
      <c r="G291" s="100">
        <v>8.84</v>
      </c>
      <c r="H291" s="101">
        <f t="shared" si="4"/>
        <v>44.2</v>
      </c>
    </row>
    <row r="292" spans="1:8" ht="36.75" thickBot="1" x14ac:dyDescent="0.3">
      <c r="A292" s="97">
        <v>94</v>
      </c>
      <c r="B292" s="98" t="s">
        <v>241</v>
      </c>
      <c r="C292" s="98">
        <v>5102</v>
      </c>
      <c r="D292" s="99" t="s">
        <v>551</v>
      </c>
      <c r="E292" s="98" t="s">
        <v>286</v>
      </c>
      <c r="F292" s="98">
        <v>5</v>
      </c>
      <c r="G292" s="100">
        <v>12.41</v>
      </c>
      <c r="H292" s="101">
        <f t="shared" si="4"/>
        <v>62.05</v>
      </c>
    </row>
    <row r="293" spans="1:8" ht="24.75" thickBot="1" x14ac:dyDescent="0.3">
      <c r="A293" s="97">
        <v>95</v>
      </c>
      <c r="B293" s="98" t="s">
        <v>241</v>
      </c>
      <c r="C293" s="98">
        <v>11707</v>
      </c>
      <c r="D293" s="99" t="s">
        <v>552</v>
      </c>
      <c r="E293" s="98" t="s">
        <v>286</v>
      </c>
      <c r="F293" s="98">
        <v>5</v>
      </c>
      <c r="G293" s="100">
        <v>18.52</v>
      </c>
      <c r="H293" s="101">
        <f t="shared" si="4"/>
        <v>92.6</v>
      </c>
    </row>
    <row r="294" spans="1:8" ht="24.75" thickBot="1" x14ac:dyDescent="0.3">
      <c r="A294" s="97">
        <v>96</v>
      </c>
      <c r="B294" s="98" t="s">
        <v>241</v>
      </c>
      <c r="C294" s="98">
        <v>11708</v>
      </c>
      <c r="D294" s="99" t="s">
        <v>553</v>
      </c>
      <c r="E294" s="98" t="s">
        <v>286</v>
      </c>
      <c r="F294" s="98">
        <v>5</v>
      </c>
      <c r="G294" s="100">
        <v>24.72</v>
      </c>
      <c r="H294" s="101">
        <f t="shared" si="4"/>
        <v>123.6</v>
      </c>
    </row>
    <row r="295" spans="1:8" ht="24.75" thickBot="1" x14ac:dyDescent="0.3">
      <c r="A295" s="97">
        <v>97</v>
      </c>
      <c r="B295" s="98" t="s">
        <v>241</v>
      </c>
      <c r="C295" s="98">
        <v>11709</v>
      </c>
      <c r="D295" s="99" t="s">
        <v>554</v>
      </c>
      <c r="E295" s="98" t="s">
        <v>286</v>
      </c>
      <c r="F295" s="98">
        <v>2</v>
      </c>
      <c r="G295" s="100">
        <v>58.08</v>
      </c>
      <c r="H295" s="101">
        <f t="shared" si="4"/>
        <v>116.16</v>
      </c>
    </row>
    <row r="296" spans="1:8" ht="24.75" thickBot="1" x14ac:dyDescent="0.3">
      <c r="A296" s="97">
        <v>98</v>
      </c>
      <c r="B296" s="98" t="s">
        <v>241</v>
      </c>
      <c r="C296" s="98">
        <v>6028</v>
      </c>
      <c r="D296" s="99" t="s">
        <v>555</v>
      </c>
      <c r="E296" s="98" t="s">
        <v>274</v>
      </c>
      <c r="F296" s="98">
        <v>2</v>
      </c>
      <c r="G296" s="100">
        <v>103.87</v>
      </c>
      <c r="H296" s="101">
        <f t="shared" si="4"/>
        <v>207.74</v>
      </c>
    </row>
    <row r="297" spans="1:8" ht="36.75" thickBot="1" x14ac:dyDescent="0.3">
      <c r="A297" s="97">
        <v>99</v>
      </c>
      <c r="B297" s="98" t="s">
        <v>241</v>
      </c>
      <c r="C297" s="98">
        <v>6013</v>
      </c>
      <c r="D297" s="99" t="s">
        <v>556</v>
      </c>
      <c r="E297" s="98" t="s">
        <v>274</v>
      </c>
      <c r="F297" s="98">
        <v>5</v>
      </c>
      <c r="G297" s="100">
        <v>82</v>
      </c>
      <c r="H297" s="101">
        <f t="shared" si="4"/>
        <v>410</v>
      </c>
    </row>
    <row r="298" spans="1:8" ht="36.75" thickBot="1" x14ac:dyDescent="0.3">
      <c r="A298" s="97">
        <v>100</v>
      </c>
      <c r="B298" s="98" t="s">
        <v>241</v>
      </c>
      <c r="C298" s="98">
        <v>6015</v>
      </c>
      <c r="D298" s="99" t="s">
        <v>557</v>
      </c>
      <c r="E298" s="98" t="s">
        <v>274</v>
      </c>
      <c r="F298" s="98">
        <v>5</v>
      </c>
      <c r="G298" s="100">
        <v>119.25</v>
      </c>
      <c r="H298" s="101">
        <f t="shared" si="4"/>
        <v>596.25</v>
      </c>
    </row>
    <row r="299" spans="1:8" ht="36.75" thickBot="1" x14ac:dyDescent="0.3">
      <c r="A299" s="97">
        <v>101</v>
      </c>
      <c r="B299" s="98" t="s">
        <v>241</v>
      </c>
      <c r="C299" s="98">
        <v>6014</v>
      </c>
      <c r="D299" s="99" t="s">
        <v>558</v>
      </c>
      <c r="E299" s="98" t="s">
        <v>274</v>
      </c>
      <c r="F299" s="98">
        <v>5</v>
      </c>
      <c r="G299" s="100">
        <v>114.01</v>
      </c>
      <c r="H299" s="101">
        <f t="shared" si="4"/>
        <v>570.05000000000007</v>
      </c>
    </row>
    <row r="300" spans="1:8" ht="36.75" thickBot="1" x14ac:dyDescent="0.3">
      <c r="A300" s="97">
        <v>102</v>
      </c>
      <c r="B300" s="98" t="s">
        <v>241</v>
      </c>
      <c r="C300" s="98">
        <v>6005</v>
      </c>
      <c r="D300" s="99" t="s">
        <v>559</v>
      </c>
      <c r="E300" s="98" t="s">
        <v>274</v>
      </c>
      <c r="F300" s="98">
        <v>5</v>
      </c>
      <c r="G300" s="100">
        <v>66.989999999999995</v>
      </c>
      <c r="H300" s="101">
        <f t="shared" si="4"/>
        <v>334.95</v>
      </c>
    </row>
    <row r="301" spans="1:8" ht="36.75" thickBot="1" x14ac:dyDescent="0.3">
      <c r="A301" s="97">
        <v>103</v>
      </c>
      <c r="B301" s="98" t="s">
        <v>241</v>
      </c>
      <c r="C301" s="98">
        <v>6021</v>
      </c>
      <c r="D301" s="99" t="s">
        <v>560</v>
      </c>
      <c r="E301" s="98" t="s">
        <v>286</v>
      </c>
      <c r="F301" s="98">
        <v>2</v>
      </c>
      <c r="G301" s="100">
        <v>61.12</v>
      </c>
      <c r="H301" s="101">
        <f t="shared" si="4"/>
        <v>122.24</v>
      </c>
    </row>
    <row r="302" spans="1:8" ht="24.75" thickBot="1" x14ac:dyDescent="0.3">
      <c r="A302" s="97">
        <v>104</v>
      </c>
      <c r="B302" s="98" t="s">
        <v>241</v>
      </c>
      <c r="C302" s="98">
        <v>11757</v>
      </c>
      <c r="D302" s="99" t="s">
        <v>561</v>
      </c>
      <c r="E302" s="98" t="s">
        <v>286</v>
      </c>
      <c r="F302" s="98">
        <v>4</v>
      </c>
      <c r="G302" s="100">
        <v>29.34</v>
      </c>
      <c r="H302" s="101">
        <f t="shared" si="4"/>
        <v>117.36</v>
      </c>
    </row>
    <row r="303" spans="1:8" ht="36.75" thickBot="1" x14ac:dyDescent="0.3">
      <c r="A303" s="97">
        <v>105</v>
      </c>
      <c r="B303" s="98" t="s">
        <v>241</v>
      </c>
      <c r="C303" s="98">
        <v>11758</v>
      </c>
      <c r="D303" s="99" t="s">
        <v>562</v>
      </c>
      <c r="E303" s="98" t="s">
        <v>286</v>
      </c>
      <c r="F303" s="98">
        <v>4</v>
      </c>
      <c r="G303" s="100">
        <v>47.99</v>
      </c>
      <c r="H303" s="101">
        <f t="shared" si="4"/>
        <v>191.96</v>
      </c>
    </row>
    <row r="304" spans="1:8" ht="24.75" thickBot="1" x14ac:dyDescent="0.3">
      <c r="A304" s="97">
        <v>106</v>
      </c>
      <c r="B304" s="98" t="s">
        <v>241</v>
      </c>
      <c r="C304" s="98">
        <v>38637</v>
      </c>
      <c r="D304" s="99" t="s">
        <v>563</v>
      </c>
      <c r="E304" s="98" t="s">
        <v>286</v>
      </c>
      <c r="F304" s="98">
        <v>2</v>
      </c>
      <c r="G304" s="100">
        <v>271.47000000000003</v>
      </c>
      <c r="H304" s="101">
        <f t="shared" si="4"/>
        <v>542.94000000000005</v>
      </c>
    </row>
    <row r="305" spans="1:8" ht="24.75" thickBot="1" x14ac:dyDescent="0.3">
      <c r="A305" s="97">
        <v>107</v>
      </c>
      <c r="B305" s="98" t="s">
        <v>241</v>
      </c>
      <c r="C305" s="98">
        <v>6150</v>
      </c>
      <c r="D305" s="99" t="s">
        <v>564</v>
      </c>
      <c r="E305" s="98" t="s">
        <v>286</v>
      </c>
      <c r="F305" s="98">
        <v>2</v>
      </c>
      <c r="G305" s="100">
        <v>274.79000000000002</v>
      </c>
      <c r="H305" s="101">
        <f t="shared" si="4"/>
        <v>549.58000000000004</v>
      </c>
    </row>
    <row r="306" spans="1:8" ht="24.75" thickBot="1" x14ac:dyDescent="0.3">
      <c r="A306" s="97">
        <v>108</v>
      </c>
      <c r="B306" s="98" t="s">
        <v>241</v>
      </c>
      <c r="C306" s="98">
        <v>6136</v>
      </c>
      <c r="D306" s="99" t="s">
        <v>565</v>
      </c>
      <c r="E306" s="98" t="s">
        <v>286</v>
      </c>
      <c r="F306" s="98">
        <v>2</v>
      </c>
      <c r="G306" s="100">
        <v>216</v>
      </c>
      <c r="H306" s="101">
        <f t="shared" si="4"/>
        <v>432</v>
      </c>
    </row>
    <row r="307" spans="1:8" ht="24.75" thickBot="1" x14ac:dyDescent="0.3">
      <c r="A307" s="97">
        <v>109</v>
      </c>
      <c r="B307" s="98" t="s">
        <v>241</v>
      </c>
      <c r="C307" s="98">
        <v>38638</v>
      </c>
      <c r="D307" s="99" t="s">
        <v>566</v>
      </c>
      <c r="E307" s="98" t="s">
        <v>286</v>
      </c>
      <c r="F307" s="98">
        <v>2</v>
      </c>
      <c r="G307" s="100">
        <v>228.76</v>
      </c>
      <c r="H307" s="101">
        <f t="shared" si="4"/>
        <v>457.52</v>
      </c>
    </row>
    <row r="308" spans="1:8" ht="24.75" thickBot="1" x14ac:dyDescent="0.3">
      <c r="A308" s="97">
        <v>110</v>
      </c>
      <c r="B308" s="98" t="s">
        <v>241</v>
      </c>
      <c r="C308" s="98">
        <v>20262</v>
      </c>
      <c r="D308" s="99" t="s">
        <v>567</v>
      </c>
      <c r="E308" s="98" t="s">
        <v>286</v>
      </c>
      <c r="F308" s="98">
        <v>5</v>
      </c>
      <c r="G308" s="100">
        <v>21.06</v>
      </c>
      <c r="H308" s="101">
        <f t="shared" si="4"/>
        <v>105.3</v>
      </c>
    </row>
    <row r="309" spans="1:8" ht="24.75" thickBot="1" x14ac:dyDescent="0.3">
      <c r="A309" s="97">
        <v>111</v>
      </c>
      <c r="B309" s="98" t="s">
        <v>241</v>
      </c>
      <c r="C309" s="98">
        <v>6145</v>
      </c>
      <c r="D309" s="99" t="s">
        <v>568</v>
      </c>
      <c r="E309" s="98" t="s">
        <v>286</v>
      </c>
      <c r="F309" s="98">
        <v>5</v>
      </c>
      <c r="G309" s="100">
        <v>23.27</v>
      </c>
      <c r="H309" s="101">
        <f t="shared" si="4"/>
        <v>116.35</v>
      </c>
    </row>
    <row r="310" spans="1:8" ht="24.75" thickBot="1" x14ac:dyDescent="0.3">
      <c r="A310" s="97">
        <v>112</v>
      </c>
      <c r="B310" s="98" t="s">
        <v>241</v>
      </c>
      <c r="C310" s="98">
        <v>6149</v>
      </c>
      <c r="D310" s="99" t="s">
        <v>569</v>
      </c>
      <c r="E310" s="98" t="s">
        <v>286</v>
      </c>
      <c r="F310" s="98">
        <v>5</v>
      </c>
      <c r="G310" s="100">
        <v>15.38</v>
      </c>
      <c r="H310" s="101">
        <f t="shared" si="4"/>
        <v>76.900000000000006</v>
      </c>
    </row>
    <row r="311" spans="1:8" ht="24.75" thickBot="1" x14ac:dyDescent="0.3">
      <c r="A311" s="97">
        <v>113</v>
      </c>
      <c r="B311" s="98" t="s">
        <v>241</v>
      </c>
      <c r="C311" s="98">
        <v>6146</v>
      </c>
      <c r="D311" s="99" t="s">
        <v>570</v>
      </c>
      <c r="E311" s="98" t="s">
        <v>286</v>
      </c>
      <c r="F311" s="98">
        <v>5</v>
      </c>
      <c r="G311" s="100">
        <v>22.11</v>
      </c>
      <c r="H311" s="101">
        <f t="shared" si="4"/>
        <v>110.55</v>
      </c>
    </row>
    <row r="312" spans="1:8" ht="24.75" thickBot="1" x14ac:dyDescent="0.3">
      <c r="A312" s="97">
        <v>114</v>
      </c>
      <c r="B312" s="98" t="s">
        <v>241</v>
      </c>
      <c r="C312" s="98">
        <v>39961</v>
      </c>
      <c r="D312" s="99" t="s">
        <v>278</v>
      </c>
      <c r="E312" s="98" t="s">
        <v>286</v>
      </c>
      <c r="F312" s="98">
        <v>30</v>
      </c>
      <c r="G312" s="100">
        <v>24.81</v>
      </c>
      <c r="H312" s="101">
        <f t="shared" si="4"/>
        <v>744.3</v>
      </c>
    </row>
    <row r="313" spans="1:8" ht="24.75" thickBot="1" x14ac:dyDescent="0.3">
      <c r="A313" s="97">
        <v>115</v>
      </c>
      <c r="B313" s="98" t="s">
        <v>241</v>
      </c>
      <c r="C313" s="98">
        <v>20083</v>
      </c>
      <c r="D313" s="99" t="s">
        <v>571</v>
      </c>
      <c r="E313" s="98" t="s">
        <v>274</v>
      </c>
      <c r="F313" s="98">
        <v>2</v>
      </c>
      <c r="G313" s="100">
        <v>87.17</v>
      </c>
      <c r="H313" s="101">
        <f t="shared" si="4"/>
        <v>174.34</v>
      </c>
    </row>
    <row r="314" spans="1:8" ht="24.75" thickBot="1" x14ac:dyDescent="0.3">
      <c r="A314" s="97">
        <v>116</v>
      </c>
      <c r="B314" s="98" t="s">
        <v>241</v>
      </c>
      <c r="C314" s="98">
        <v>7139</v>
      </c>
      <c r="D314" s="99" t="s">
        <v>572</v>
      </c>
      <c r="E314" s="98" t="s">
        <v>274</v>
      </c>
      <c r="F314" s="98">
        <v>20</v>
      </c>
      <c r="G314" s="100">
        <v>1.03</v>
      </c>
      <c r="H314" s="101">
        <f t="shared" si="4"/>
        <v>20.6</v>
      </c>
    </row>
    <row r="315" spans="1:8" ht="24.75" thickBot="1" x14ac:dyDescent="0.3">
      <c r="A315" s="97">
        <v>117</v>
      </c>
      <c r="B315" s="98" t="s">
        <v>241</v>
      </c>
      <c r="C315" s="98">
        <v>7140</v>
      </c>
      <c r="D315" s="99" t="s">
        <v>573</v>
      </c>
      <c r="E315" s="98" t="s">
        <v>274</v>
      </c>
      <c r="F315" s="98">
        <v>20</v>
      </c>
      <c r="G315" s="100">
        <v>4.75</v>
      </c>
      <c r="H315" s="101">
        <f t="shared" si="4"/>
        <v>95</v>
      </c>
    </row>
    <row r="316" spans="1:8" ht="24.75" thickBot="1" x14ac:dyDescent="0.3">
      <c r="A316" s="97">
        <v>118</v>
      </c>
      <c r="B316" s="98" t="s">
        <v>241</v>
      </c>
      <c r="C316" s="98">
        <v>7141</v>
      </c>
      <c r="D316" s="99" t="s">
        <v>574</v>
      </c>
      <c r="E316" s="98" t="s">
        <v>274</v>
      </c>
      <c r="F316" s="98">
        <v>5</v>
      </c>
      <c r="G316" s="100">
        <v>7.93</v>
      </c>
      <c r="H316" s="101">
        <f t="shared" si="4"/>
        <v>39.65</v>
      </c>
    </row>
    <row r="317" spans="1:8" ht="24.75" thickBot="1" x14ac:dyDescent="0.3">
      <c r="A317" s="97">
        <v>119</v>
      </c>
      <c r="B317" s="98" t="s">
        <v>241</v>
      </c>
      <c r="C317" s="98">
        <v>7143</v>
      </c>
      <c r="D317" s="99" t="s">
        <v>575</v>
      </c>
      <c r="E317" s="98" t="s">
        <v>274</v>
      </c>
      <c r="F317" s="98">
        <v>10</v>
      </c>
      <c r="G317" s="100">
        <v>26.61</v>
      </c>
      <c r="H317" s="101">
        <f t="shared" si="4"/>
        <v>266.10000000000002</v>
      </c>
    </row>
    <row r="318" spans="1:8" ht="24.75" thickBot="1" x14ac:dyDescent="0.3">
      <c r="A318" s="97">
        <v>120</v>
      </c>
      <c r="B318" s="98" t="s">
        <v>241</v>
      </c>
      <c r="C318" s="98">
        <v>7144</v>
      </c>
      <c r="D318" s="99" t="s">
        <v>576</v>
      </c>
      <c r="E318" s="98" t="s">
        <v>274</v>
      </c>
      <c r="F318" s="98">
        <v>5</v>
      </c>
      <c r="G318" s="100">
        <v>49.36</v>
      </c>
      <c r="H318" s="101">
        <f t="shared" si="4"/>
        <v>246.8</v>
      </c>
    </row>
    <row r="319" spans="1:8" ht="24.75" thickBot="1" x14ac:dyDescent="0.3">
      <c r="A319" s="97">
        <v>121</v>
      </c>
      <c r="B319" s="98" t="s">
        <v>241</v>
      </c>
      <c r="C319" s="98">
        <v>7145</v>
      </c>
      <c r="D319" s="99" t="s">
        <v>577</v>
      </c>
      <c r="E319" s="98" t="s">
        <v>274</v>
      </c>
      <c r="F319" s="98">
        <v>5</v>
      </c>
      <c r="G319" s="100">
        <v>67.12</v>
      </c>
      <c r="H319" s="101">
        <f t="shared" si="4"/>
        <v>335.6</v>
      </c>
    </row>
    <row r="320" spans="1:8" ht="24.75" thickBot="1" x14ac:dyDescent="0.3">
      <c r="A320" s="97">
        <v>122</v>
      </c>
      <c r="B320" s="98" t="s">
        <v>241</v>
      </c>
      <c r="C320" s="98">
        <v>7142</v>
      </c>
      <c r="D320" s="99" t="s">
        <v>578</v>
      </c>
      <c r="E320" s="98" t="s">
        <v>274</v>
      </c>
      <c r="F320" s="98">
        <v>20</v>
      </c>
      <c r="G320" s="100">
        <v>8.2899999999999991</v>
      </c>
      <c r="H320" s="101">
        <f t="shared" si="4"/>
        <v>165.79999999999998</v>
      </c>
    </row>
    <row r="321" spans="1:8" ht="36.75" thickBot="1" x14ac:dyDescent="0.3">
      <c r="A321" s="97">
        <v>123</v>
      </c>
      <c r="B321" s="98" t="s">
        <v>241</v>
      </c>
      <c r="C321" s="98">
        <v>11766</v>
      </c>
      <c r="D321" s="99" t="s">
        <v>579</v>
      </c>
      <c r="E321" s="98" t="s">
        <v>274</v>
      </c>
      <c r="F321" s="98">
        <v>5</v>
      </c>
      <c r="G321" s="100">
        <v>43.8</v>
      </c>
      <c r="H321" s="101">
        <f t="shared" si="4"/>
        <v>219</v>
      </c>
    </row>
    <row r="322" spans="1:8" ht="24.75" thickBot="1" x14ac:dyDescent="0.3">
      <c r="A322" s="97">
        <v>124</v>
      </c>
      <c r="B322" s="98" t="s">
        <v>241</v>
      </c>
      <c r="C322" s="98">
        <v>13417</v>
      </c>
      <c r="D322" s="99" t="s">
        <v>580</v>
      </c>
      <c r="E322" s="98" t="s">
        <v>286</v>
      </c>
      <c r="F322" s="98">
        <v>5</v>
      </c>
      <c r="G322" s="100">
        <v>101.51</v>
      </c>
      <c r="H322" s="101">
        <f t="shared" si="4"/>
        <v>507.55</v>
      </c>
    </row>
    <row r="323" spans="1:8" ht="24.75" thickBot="1" x14ac:dyDescent="0.3">
      <c r="A323" s="97">
        <v>125</v>
      </c>
      <c r="B323" s="98" t="s">
        <v>241</v>
      </c>
      <c r="C323" s="98">
        <v>9836</v>
      </c>
      <c r="D323" s="99" t="s">
        <v>581</v>
      </c>
      <c r="E323" s="98" t="s">
        <v>247</v>
      </c>
      <c r="F323" s="98">
        <v>50</v>
      </c>
      <c r="G323" s="100">
        <v>13.86</v>
      </c>
      <c r="H323" s="101">
        <f t="shared" si="4"/>
        <v>693</v>
      </c>
    </row>
    <row r="324" spans="1:8" ht="24.75" thickBot="1" x14ac:dyDescent="0.3">
      <c r="A324" s="97">
        <v>126</v>
      </c>
      <c r="B324" s="98" t="s">
        <v>241</v>
      </c>
      <c r="C324" s="98">
        <v>20065</v>
      </c>
      <c r="D324" s="99" t="s">
        <v>582</v>
      </c>
      <c r="E324" s="98" t="s">
        <v>247</v>
      </c>
      <c r="F324" s="98">
        <v>20</v>
      </c>
      <c r="G324" s="100">
        <v>36.229999999999997</v>
      </c>
      <c r="H324" s="101">
        <f t="shared" si="4"/>
        <v>724.59999999999991</v>
      </c>
    </row>
    <row r="325" spans="1:8" ht="24.75" thickBot="1" x14ac:dyDescent="0.3">
      <c r="A325" s="97">
        <v>127</v>
      </c>
      <c r="B325" s="98" t="s">
        <v>241</v>
      </c>
      <c r="C325" s="98">
        <v>9835</v>
      </c>
      <c r="D325" s="99" t="s">
        <v>583</v>
      </c>
      <c r="E325" s="98" t="s">
        <v>247</v>
      </c>
      <c r="F325" s="98">
        <v>20</v>
      </c>
      <c r="G325" s="100">
        <v>6.05</v>
      </c>
      <c r="H325" s="101">
        <f t="shared" si="4"/>
        <v>121</v>
      </c>
    </row>
    <row r="326" spans="1:8" ht="24.75" thickBot="1" x14ac:dyDescent="0.3">
      <c r="A326" s="97">
        <v>128</v>
      </c>
      <c r="B326" s="98" t="s">
        <v>241</v>
      </c>
      <c r="C326" s="98">
        <v>9838</v>
      </c>
      <c r="D326" s="99" t="s">
        <v>584</v>
      </c>
      <c r="E326" s="98" t="s">
        <v>247</v>
      </c>
      <c r="F326" s="98">
        <v>20</v>
      </c>
      <c r="G326" s="100">
        <v>10</v>
      </c>
      <c r="H326" s="101">
        <f t="shared" si="4"/>
        <v>200</v>
      </c>
    </row>
    <row r="327" spans="1:8" ht="24.75" thickBot="1" x14ac:dyDescent="0.3">
      <c r="A327" s="97">
        <v>129</v>
      </c>
      <c r="B327" s="98" t="s">
        <v>241</v>
      </c>
      <c r="C327" s="98">
        <v>9837</v>
      </c>
      <c r="D327" s="99" t="s">
        <v>585</v>
      </c>
      <c r="E327" s="98" t="s">
        <v>247</v>
      </c>
      <c r="F327" s="98">
        <v>20</v>
      </c>
      <c r="G327" s="100">
        <v>13.12</v>
      </c>
      <c r="H327" s="101">
        <f t="shared" si="4"/>
        <v>262.39999999999998</v>
      </c>
    </row>
    <row r="328" spans="1:8" ht="36.75" thickBot="1" x14ac:dyDescent="0.3">
      <c r="A328" s="97">
        <v>130</v>
      </c>
      <c r="B328" s="98" t="s">
        <v>241</v>
      </c>
      <c r="C328" s="98">
        <v>9841</v>
      </c>
      <c r="D328" s="99" t="s">
        <v>586</v>
      </c>
      <c r="E328" s="98" t="s">
        <v>247</v>
      </c>
      <c r="F328" s="98">
        <v>50</v>
      </c>
      <c r="G328" s="100">
        <v>26.1</v>
      </c>
      <c r="H328" s="101">
        <f t="shared" ref="H328:H340" si="5">G328*F328</f>
        <v>1305</v>
      </c>
    </row>
    <row r="329" spans="1:8" ht="36.75" thickBot="1" x14ac:dyDescent="0.3">
      <c r="A329" s="97">
        <v>131</v>
      </c>
      <c r="B329" s="98" t="s">
        <v>241</v>
      </c>
      <c r="C329" s="98">
        <v>9840</v>
      </c>
      <c r="D329" s="99" t="s">
        <v>587</v>
      </c>
      <c r="E329" s="98" t="s">
        <v>247</v>
      </c>
      <c r="F329" s="98">
        <v>20</v>
      </c>
      <c r="G329" s="100">
        <v>55.13</v>
      </c>
      <c r="H329" s="101">
        <f t="shared" si="5"/>
        <v>1102.6000000000001</v>
      </c>
    </row>
    <row r="330" spans="1:8" ht="24.75" thickBot="1" x14ac:dyDescent="0.3">
      <c r="A330" s="97">
        <v>132</v>
      </c>
      <c r="B330" s="98" t="s">
        <v>241</v>
      </c>
      <c r="C330" s="98">
        <v>9870</v>
      </c>
      <c r="D330" s="99" t="s">
        <v>588</v>
      </c>
      <c r="E330" s="98" t="s">
        <v>247</v>
      </c>
      <c r="F330" s="98">
        <v>20</v>
      </c>
      <c r="G330" s="100">
        <v>78.75</v>
      </c>
      <c r="H330" s="101">
        <f t="shared" si="5"/>
        <v>1575</v>
      </c>
    </row>
    <row r="331" spans="1:8" ht="24.75" thickBot="1" x14ac:dyDescent="0.3">
      <c r="A331" s="97">
        <v>133</v>
      </c>
      <c r="B331" s="98" t="s">
        <v>241</v>
      </c>
      <c r="C331" s="98">
        <v>9868</v>
      </c>
      <c r="D331" s="99" t="s">
        <v>589</v>
      </c>
      <c r="E331" s="98" t="s">
        <v>247</v>
      </c>
      <c r="F331" s="98">
        <v>20</v>
      </c>
      <c r="G331" s="100">
        <v>3.57</v>
      </c>
      <c r="H331" s="101">
        <f t="shared" si="5"/>
        <v>71.399999999999991</v>
      </c>
    </row>
    <row r="332" spans="1:8" ht="24.75" thickBot="1" x14ac:dyDescent="0.3">
      <c r="A332" s="97">
        <v>134</v>
      </c>
      <c r="B332" s="98" t="s">
        <v>241</v>
      </c>
      <c r="C332" s="98">
        <v>9869</v>
      </c>
      <c r="D332" s="99" t="s">
        <v>590</v>
      </c>
      <c r="E332" s="98" t="s">
        <v>247</v>
      </c>
      <c r="F332" s="98">
        <v>20</v>
      </c>
      <c r="G332" s="100">
        <v>7.7</v>
      </c>
      <c r="H332" s="101">
        <f t="shared" si="5"/>
        <v>154</v>
      </c>
    </row>
    <row r="333" spans="1:8" ht="24.75" thickBot="1" x14ac:dyDescent="0.3">
      <c r="A333" s="97">
        <v>135</v>
      </c>
      <c r="B333" s="98" t="s">
        <v>241</v>
      </c>
      <c r="C333" s="98">
        <v>9874</v>
      </c>
      <c r="D333" s="99" t="s">
        <v>591</v>
      </c>
      <c r="E333" s="98" t="s">
        <v>247</v>
      </c>
      <c r="F333" s="98">
        <v>20</v>
      </c>
      <c r="G333" s="100">
        <v>12.1</v>
      </c>
      <c r="H333" s="101">
        <f t="shared" si="5"/>
        <v>242</v>
      </c>
    </row>
    <row r="334" spans="1:8" ht="24.75" thickBot="1" x14ac:dyDescent="0.3">
      <c r="A334" s="97">
        <v>136</v>
      </c>
      <c r="B334" s="98" t="s">
        <v>241</v>
      </c>
      <c r="C334" s="98">
        <v>9875</v>
      </c>
      <c r="D334" s="99" t="s">
        <v>592</v>
      </c>
      <c r="E334" s="98" t="s">
        <v>247</v>
      </c>
      <c r="F334" s="98">
        <v>20</v>
      </c>
      <c r="G334" s="100">
        <v>13.27</v>
      </c>
      <c r="H334" s="101">
        <f t="shared" si="5"/>
        <v>265.39999999999998</v>
      </c>
    </row>
    <row r="335" spans="1:8" ht="24.75" thickBot="1" x14ac:dyDescent="0.3">
      <c r="A335" s="97">
        <v>137</v>
      </c>
      <c r="B335" s="98" t="s">
        <v>241</v>
      </c>
      <c r="C335" s="98">
        <v>9873</v>
      </c>
      <c r="D335" s="99" t="s">
        <v>593</v>
      </c>
      <c r="E335" s="98" t="s">
        <v>247</v>
      </c>
      <c r="F335" s="98">
        <v>20</v>
      </c>
      <c r="G335" s="100">
        <v>21.83</v>
      </c>
      <c r="H335" s="101">
        <f t="shared" si="5"/>
        <v>436.59999999999997</v>
      </c>
    </row>
    <row r="336" spans="1:8" ht="24.75" thickBot="1" x14ac:dyDescent="0.3">
      <c r="A336" s="97">
        <v>138</v>
      </c>
      <c r="B336" s="98" t="s">
        <v>241</v>
      </c>
      <c r="C336" s="98">
        <v>9871</v>
      </c>
      <c r="D336" s="99" t="s">
        <v>594</v>
      </c>
      <c r="E336" s="98" t="s">
        <v>247</v>
      </c>
      <c r="F336" s="98">
        <v>20</v>
      </c>
      <c r="G336" s="100">
        <v>36.17</v>
      </c>
      <c r="H336" s="101">
        <f t="shared" si="5"/>
        <v>723.40000000000009</v>
      </c>
    </row>
    <row r="337" spans="1:8" ht="24.75" thickBot="1" x14ac:dyDescent="0.3">
      <c r="A337" s="97">
        <v>139</v>
      </c>
      <c r="B337" s="98" t="s">
        <v>241</v>
      </c>
      <c r="C337" s="98">
        <v>9872</v>
      </c>
      <c r="D337" s="99" t="s">
        <v>595</v>
      </c>
      <c r="E337" s="98" t="s">
        <v>247</v>
      </c>
      <c r="F337" s="98">
        <v>20</v>
      </c>
      <c r="G337" s="100">
        <v>50.33</v>
      </c>
      <c r="H337" s="101">
        <f t="shared" si="5"/>
        <v>1006.5999999999999</v>
      </c>
    </row>
    <row r="338" spans="1:8" ht="36.75" thickBot="1" x14ac:dyDescent="0.3">
      <c r="A338" s="97">
        <v>140</v>
      </c>
      <c r="B338" s="98" t="s">
        <v>241</v>
      </c>
      <c r="C338" s="98">
        <v>10228</v>
      </c>
      <c r="D338" s="99" t="s">
        <v>596</v>
      </c>
      <c r="E338" s="98" t="s">
        <v>274</v>
      </c>
      <c r="F338" s="98">
        <v>5</v>
      </c>
      <c r="G338" s="100">
        <v>172</v>
      </c>
      <c r="H338" s="101">
        <f t="shared" si="5"/>
        <v>860</v>
      </c>
    </row>
    <row r="339" spans="1:8" ht="36.75" thickBot="1" x14ac:dyDescent="0.3">
      <c r="A339" s="97">
        <v>141</v>
      </c>
      <c r="B339" s="98" t="s">
        <v>241</v>
      </c>
      <c r="C339" s="98">
        <v>11781</v>
      </c>
      <c r="D339" s="99" t="s">
        <v>597</v>
      </c>
      <c r="E339" s="98" t="s">
        <v>274</v>
      </c>
      <c r="F339" s="98">
        <v>5</v>
      </c>
      <c r="G339" s="100">
        <v>139.34</v>
      </c>
      <c r="H339" s="101">
        <f t="shared" si="5"/>
        <v>696.7</v>
      </c>
    </row>
    <row r="340" spans="1:8" ht="24.75" thickBot="1" x14ac:dyDescent="0.3">
      <c r="A340" s="97">
        <v>142</v>
      </c>
      <c r="B340" s="98" t="s">
        <v>241</v>
      </c>
      <c r="C340" s="98">
        <v>37588</v>
      </c>
      <c r="D340" s="99" t="s">
        <v>598</v>
      </c>
      <c r="E340" s="98" t="s">
        <v>286</v>
      </c>
      <c r="F340" s="98">
        <v>5</v>
      </c>
      <c r="G340" s="100">
        <v>67.95</v>
      </c>
      <c r="H340" s="101">
        <f t="shared" si="5"/>
        <v>339.75</v>
      </c>
    </row>
    <row r="341" spans="1:8" ht="24.75" thickBot="1" x14ac:dyDescent="0.3">
      <c r="A341" s="97">
        <v>143</v>
      </c>
      <c r="B341" s="98" t="s">
        <v>241</v>
      </c>
      <c r="C341" s="98">
        <v>6138</v>
      </c>
      <c r="D341" s="99" t="s">
        <v>599</v>
      </c>
      <c r="E341" s="98" t="s">
        <v>286</v>
      </c>
      <c r="F341" s="98">
        <v>20</v>
      </c>
      <c r="G341" s="100">
        <v>10.8</v>
      </c>
      <c r="H341" s="101">
        <f>G341*F341</f>
        <v>216</v>
      </c>
    </row>
    <row r="342" spans="1:8" ht="15.75" thickBot="1" x14ac:dyDescent="0.3">
      <c r="A342" s="290" t="s">
        <v>600</v>
      </c>
      <c r="B342" s="291"/>
      <c r="C342" s="291"/>
      <c r="D342" s="291"/>
      <c r="E342" s="291"/>
      <c r="F342" s="291"/>
      <c r="G342" s="292"/>
      <c r="H342" s="104">
        <f>SUM(H199:H341)</f>
        <v>35047.53</v>
      </c>
    </row>
    <row r="343" spans="1:8" ht="15.75" thickBot="1" x14ac:dyDescent="0.3"/>
    <row r="344" spans="1:8" ht="15.75" thickBot="1" x14ac:dyDescent="0.3">
      <c r="A344" s="301" t="s">
        <v>601</v>
      </c>
      <c r="B344" s="302"/>
      <c r="C344" s="302"/>
      <c r="D344" s="302"/>
      <c r="E344" s="302"/>
      <c r="F344" s="302"/>
      <c r="G344" s="302"/>
      <c r="H344" s="303"/>
    </row>
    <row r="345" spans="1:8" ht="24.75" thickBot="1" x14ac:dyDescent="0.3">
      <c r="A345" s="96" t="s">
        <v>233</v>
      </c>
      <c r="B345" s="96" t="s">
        <v>234</v>
      </c>
      <c r="C345" s="96" t="s">
        <v>235</v>
      </c>
      <c r="D345" s="96" t="s">
        <v>236</v>
      </c>
      <c r="E345" s="96" t="s">
        <v>237</v>
      </c>
      <c r="F345" s="96" t="s">
        <v>167</v>
      </c>
      <c r="G345" s="96" t="s">
        <v>239</v>
      </c>
      <c r="H345" s="96" t="s">
        <v>240</v>
      </c>
    </row>
    <row r="346" spans="1:8" ht="36.75" thickBot="1" x14ac:dyDescent="0.3">
      <c r="A346" s="97">
        <v>1</v>
      </c>
      <c r="B346" s="98" t="s">
        <v>241</v>
      </c>
      <c r="C346" s="98">
        <v>392</v>
      </c>
      <c r="D346" s="99" t="s">
        <v>602</v>
      </c>
      <c r="E346" s="98" t="s">
        <v>286</v>
      </c>
      <c r="F346" s="98">
        <v>100</v>
      </c>
      <c r="G346" s="100">
        <v>2.0099999999999998</v>
      </c>
      <c r="H346" s="101">
        <f>F346*G346</f>
        <v>200.99999999999997</v>
      </c>
    </row>
    <row r="347" spans="1:8" ht="36.75" thickBot="1" x14ac:dyDescent="0.3">
      <c r="A347" s="97">
        <v>2</v>
      </c>
      <c r="B347" s="98" t="s">
        <v>241</v>
      </c>
      <c r="C347" s="98">
        <v>400</v>
      </c>
      <c r="D347" s="99" t="s">
        <v>603</v>
      </c>
      <c r="E347" s="98" t="s">
        <v>286</v>
      </c>
      <c r="F347" s="98">
        <v>50</v>
      </c>
      <c r="G347" s="100">
        <v>2.09</v>
      </c>
      <c r="H347" s="101">
        <f t="shared" ref="H347:H410" si="6">F347*G347</f>
        <v>104.5</v>
      </c>
    </row>
    <row r="348" spans="1:8" ht="36.75" thickBot="1" x14ac:dyDescent="0.3">
      <c r="A348" s="97">
        <v>3</v>
      </c>
      <c r="B348" s="98" t="s">
        <v>241</v>
      </c>
      <c r="C348" s="98">
        <v>410</v>
      </c>
      <c r="D348" s="99" t="s">
        <v>604</v>
      </c>
      <c r="E348" s="98" t="s">
        <v>286</v>
      </c>
      <c r="F348" s="98">
        <v>150</v>
      </c>
      <c r="G348" s="100">
        <v>0.23</v>
      </c>
      <c r="H348" s="101">
        <f t="shared" si="6"/>
        <v>34.5</v>
      </c>
    </row>
    <row r="349" spans="1:8" ht="36.75" thickBot="1" x14ac:dyDescent="0.3">
      <c r="A349" s="97">
        <v>4</v>
      </c>
      <c r="B349" s="98" t="s">
        <v>241</v>
      </c>
      <c r="C349" s="98">
        <v>408</v>
      </c>
      <c r="D349" s="99" t="s">
        <v>605</v>
      </c>
      <c r="E349" s="98" t="s">
        <v>286</v>
      </c>
      <c r="F349" s="98">
        <v>150</v>
      </c>
      <c r="G349" s="100">
        <v>1.48</v>
      </c>
      <c r="H349" s="101">
        <f t="shared" si="6"/>
        <v>222</v>
      </c>
    </row>
    <row r="350" spans="1:8" ht="36.75" thickBot="1" x14ac:dyDescent="0.3">
      <c r="A350" s="97">
        <v>5</v>
      </c>
      <c r="B350" s="98" t="s">
        <v>241</v>
      </c>
      <c r="C350" s="98">
        <v>417</v>
      </c>
      <c r="D350" s="99" t="s">
        <v>606</v>
      </c>
      <c r="E350" s="98" t="s">
        <v>286</v>
      </c>
      <c r="F350" s="98">
        <v>10</v>
      </c>
      <c r="G350" s="100">
        <v>4.7300000000000004</v>
      </c>
      <c r="H350" s="101">
        <f t="shared" si="6"/>
        <v>47.300000000000004</v>
      </c>
    </row>
    <row r="351" spans="1:8" ht="48.75" thickBot="1" x14ac:dyDescent="0.3">
      <c r="A351" s="97">
        <v>6</v>
      </c>
      <c r="B351" s="98" t="s">
        <v>241</v>
      </c>
      <c r="C351" s="98">
        <v>11273</v>
      </c>
      <c r="D351" s="99" t="s">
        <v>607</v>
      </c>
      <c r="E351" s="98" t="s">
        <v>286</v>
      </c>
      <c r="F351" s="98">
        <v>10</v>
      </c>
      <c r="G351" s="100">
        <v>14.7</v>
      </c>
      <c r="H351" s="101">
        <f t="shared" si="6"/>
        <v>147</v>
      </c>
    </row>
    <row r="352" spans="1:8" ht="48.75" thickBot="1" x14ac:dyDescent="0.3">
      <c r="A352" s="97">
        <v>7</v>
      </c>
      <c r="B352" s="98" t="s">
        <v>241</v>
      </c>
      <c r="C352" s="98">
        <v>11272</v>
      </c>
      <c r="D352" s="99" t="s">
        <v>608</v>
      </c>
      <c r="E352" s="98" t="s">
        <v>286</v>
      </c>
      <c r="F352" s="98">
        <v>10</v>
      </c>
      <c r="G352" s="100">
        <v>8.8699999999999992</v>
      </c>
      <c r="H352" s="101">
        <f t="shared" si="6"/>
        <v>88.699999999999989</v>
      </c>
    </row>
    <row r="353" spans="1:8" ht="36.75" thickBot="1" x14ac:dyDescent="0.3">
      <c r="A353" s="97">
        <v>8</v>
      </c>
      <c r="B353" s="98" t="s">
        <v>241</v>
      </c>
      <c r="C353" s="98">
        <v>11275</v>
      </c>
      <c r="D353" s="99" t="s">
        <v>609</v>
      </c>
      <c r="E353" s="98" t="s">
        <v>286</v>
      </c>
      <c r="F353" s="98">
        <v>235</v>
      </c>
      <c r="G353" s="100">
        <v>3.56</v>
      </c>
      <c r="H353" s="101">
        <f t="shared" si="6"/>
        <v>836.6</v>
      </c>
    </row>
    <row r="354" spans="1:8" ht="36.75" thickBot="1" x14ac:dyDescent="0.3">
      <c r="A354" s="97">
        <v>9</v>
      </c>
      <c r="B354" s="98" t="s">
        <v>241</v>
      </c>
      <c r="C354" s="98">
        <v>11274</v>
      </c>
      <c r="D354" s="99" t="s">
        <v>610</v>
      </c>
      <c r="E354" s="98" t="s">
        <v>286</v>
      </c>
      <c r="F354" s="98">
        <v>25</v>
      </c>
      <c r="G354" s="100">
        <v>2.71</v>
      </c>
      <c r="H354" s="101">
        <f t="shared" si="6"/>
        <v>67.75</v>
      </c>
    </row>
    <row r="355" spans="1:8" ht="36.75" thickBot="1" x14ac:dyDescent="0.3">
      <c r="A355" s="97">
        <v>10</v>
      </c>
      <c r="B355" s="98" t="s">
        <v>241</v>
      </c>
      <c r="C355" s="98">
        <v>13348</v>
      </c>
      <c r="D355" s="99" t="s">
        <v>611</v>
      </c>
      <c r="E355" s="98" t="s">
        <v>286</v>
      </c>
      <c r="F355" s="98">
        <v>200</v>
      </c>
      <c r="G355" s="100">
        <v>1.63</v>
      </c>
      <c r="H355" s="101">
        <f t="shared" si="6"/>
        <v>326</v>
      </c>
    </row>
    <row r="356" spans="1:8" ht="48.75" thickBot="1" x14ac:dyDescent="0.3">
      <c r="A356" s="97">
        <v>11</v>
      </c>
      <c r="B356" s="98" t="s">
        <v>241</v>
      </c>
      <c r="C356" s="98">
        <v>379</v>
      </c>
      <c r="D356" s="99" t="s">
        <v>612</v>
      </c>
      <c r="E356" s="98" t="s">
        <v>286</v>
      </c>
      <c r="F356" s="98">
        <v>200</v>
      </c>
      <c r="G356" s="100">
        <v>1.43</v>
      </c>
      <c r="H356" s="101">
        <f t="shared" si="6"/>
        <v>286</v>
      </c>
    </row>
    <row r="357" spans="1:8" ht="24.75" thickBot="1" x14ac:dyDescent="0.3">
      <c r="A357" s="97">
        <v>12</v>
      </c>
      <c r="B357" s="98" t="s">
        <v>241</v>
      </c>
      <c r="C357" s="98">
        <v>39209</v>
      </c>
      <c r="D357" s="99" t="s">
        <v>613</v>
      </c>
      <c r="E357" s="98" t="s">
        <v>286</v>
      </c>
      <c r="F357" s="98">
        <v>75</v>
      </c>
      <c r="G357" s="100">
        <v>0.57999999999999996</v>
      </c>
      <c r="H357" s="101">
        <f t="shared" si="6"/>
        <v>43.5</v>
      </c>
    </row>
    <row r="358" spans="1:8" ht="24.75" thickBot="1" x14ac:dyDescent="0.3">
      <c r="A358" s="97">
        <v>13</v>
      </c>
      <c r="B358" s="98" t="s">
        <v>241</v>
      </c>
      <c r="C358" s="98">
        <v>39210</v>
      </c>
      <c r="D358" s="99" t="s">
        <v>614</v>
      </c>
      <c r="E358" s="98" t="s">
        <v>286</v>
      </c>
      <c r="F358" s="98">
        <v>150</v>
      </c>
      <c r="G358" s="100">
        <v>0.9</v>
      </c>
      <c r="H358" s="101">
        <f t="shared" si="6"/>
        <v>135</v>
      </c>
    </row>
    <row r="359" spans="1:8" ht="24.75" thickBot="1" x14ac:dyDescent="0.3">
      <c r="A359" s="97">
        <v>14</v>
      </c>
      <c r="B359" s="98" t="s">
        <v>241</v>
      </c>
      <c r="C359" s="98">
        <v>39213</v>
      </c>
      <c r="D359" s="99" t="s">
        <v>615</v>
      </c>
      <c r="E359" s="98" t="s">
        <v>286</v>
      </c>
      <c r="F359" s="98">
        <v>150</v>
      </c>
      <c r="G359" s="100">
        <v>2.36</v>
      </c>
      <c r="H359" s="101">
        <f t="shared" si="6"/>
        <v>354</v>
      </c>
    </row>
    <row r="360" spans="1:8" ht="24.75" thickBot="1" x14ac:dyDescent="0.3">
      <c r="A360" s="97">
        <v>15</v>
      </c>
      <c r="B360" s="98" t="s">
        <v>241</v>
      </c>
      <c r="C360" s="98">
        <v>39179</v>
      </c>
      <c r="D360" s="99" t="s">
        <v>616</v>
      </c>
      <c r="E360" s="98" t="s">
        <v>286</v>
      </c>
      <c r="F360" s="98">
        <v>150</v>
      </c>
      <c r="G360" s="100">
        <v>4.92</v>
      </c>
      <c r="H360" s="101">
        <f t="shared" si="6"/>
        <v>738</v>
      </c>
    </row>
    <row r="361" spans="1:8" ht="24.75" thickBot="1" x14ac:dyDescent="0.3">
      <c r="A361" s="97">
        <v>16</v>
      </c>
      <c r="B361" s="98" t="s">
        <v>241</v>
      </c>
      <c r="C361" s="98">
        <v>39175</v>
      </c>
      <c r="D361" s="99" t="s">
        <v>617</v>
      </c>
      <c r="E361" s="98" t="s">
        <v>286</v>
      </c>
      <c r="F361" s="98">
        <v>150</v>
      </c>
      <c r="G361" s="100">
        <v>1.1299999999999999</v>
      </c>
      <c r="H361" s="101">
        <f t="shared" si="6"/>
        <v>169.49999999999997</v>
      </c>
    </row>
    <row r="362" spans="1:8" ht="24.75" thickBot="1" x14ac:dyDescent="0.3">
      <c r="A362" s="97">
        <v>17</v>
      </c>
      <c r="B362" s="98" t="s">
        <v>241</v>
      </c>
      <c r="C362" s="98">
        <v>39176</v>
      </c>
      <c r="D362" s="99" t="s">
        <v>618</v>
      </c>
      <c r="E362" s="98" t="s">
        <v>286</v>
      </c>
      <c r="F362" s="98">
        <v>150</v>
      </c>
      <c r="G362" s="100">
        <v>1.21</v>
      </c>
      <c r="H362" s="101">
        <f t="shared" si="6"/>
        <v>181.5</v>
      </c>
    </row>
    <row r="363" spans="1:8" ht="60.75" thickBot="1" x14ac:dyDescent="0.3">
      <c r="A363" s="97">
        <v>18</v>
      </c>
      <c r="B363" s="98" t="s">
        <v>241</v>
      </c>
      <c r="C363" s="98">
        <v>1020</v>
      </c>
      <c r="D363" s="99" t="s">
        <v>619</v>
      </c>
      <c r="E363" s="98" t="s">
        <v>620</v>
      </c>
      <c r="F363" s="98">
        <v>200</v>
      </c>
      <c r="G363" s="100">
        <v>10.48</v>
      </c>
      <c r="H363" s="101">
        <f t="shared" si="6"/>
        <v>2096</v>
      </c>
    </row>
    <row r="364" spans="1:8" ht="60.75" thickBot="1" x14ac:dyDescent="0.3">
      <c r="A364" s="97">
        <v>19</v>
      </c>
      <c r="B364" s="98" t="s">
        <v>241</v>
      </c>
      <c r="C364" s="98">
        <v>995</v>
      </c>
      <c r="D364" s="99" t="s">
        <v>621</v>
      </c>
      <c r="E364" s="98" t="s">
        <v>620</v>
      </c>
      <c r="F364" s="98">
        <v>50</v>
      </c>
      <c r="G364" s="100">
        <v>16.68</v>
      </c>
      <c r="H364" s="101">
        <f t="shared" si="6"/>
        <v>834</v>
      </c>
    </row>
    <row r="365" spans="1:8" ht="60.75" thickBot="1" x14ac:dyDescent="0.3">
      <c r="A365" s="97">
        <v>20</v>
      </c>
      <c r="B365" s="98" t="s">
        <v>241</v>
      </c>
      <c r="C365" s="98">
        <v>1022</v>
      </c>
      <c r="D365" s="99" t="s">
        <v>622</v>
      </c>
      <c r="E365" s="98" t="s">
        <v>620</v>
      </c>
      <c r="F365" s="98">
        <v>200</v>
      </c>
      <c r="G365" s="100">
        <v>2.86</v>
      </c>
      <c r="H365" s="101">
        <f t="shared" si="6"/>
        <v>572</v>
      </c>
    </row>
    <row r="366" spans="1:8" ht="60.75" thickBot="1" x14ac:dyDescent="0.3">
      <c r="A366" s="97">
        <v>21</v>
      </c>
      <c r="B366" s="98" t="s">
        <v>241</v>
      </c>
      <c r="C366" s="98">
        <v>996</v>
      </c>
      <c r="D366" s="99" t="s">
        <v>623</v>
      </c>
      <c r="E366" s="98" t="s">
        <v>620</v>
      </c>
      <c r="F366" s="98">
        <v>50</v>
      </c>
      <c r="G366" s="100">
        <v>25.87</v>
      </c>
      <c r="H366" s="101">
        <f t="shared" si="6"/>
        <v>1293.5</v>
      </c>
    </row>
    <row r="367" spans="1:8" ht="60.75" thickBot="1" x14ac:dyDescent="0.3">
      <c r="A367" s="97">
        <v>22</v>
      </c>
      <c r="B367" s="98" t="s">
        <v>241</v>
      </c>
      <c r="C367" s="98">
        <v>1021</v>
      </c>
      <c r="D367" s="99" t="s">
        <v>624</v>
      </c>
      <c r="E367" s="98" t="s">
        <v>620</v>
      </c>
      <c r="F367" s="98">
        <v>200</v>
      </c>
      <c r="G367" s="100">
        <v>4.3899999999999997</v>
      </c>
      <c r="H367" s="101">
        <f t="shared" si="6"/>
        <v>877.99999999999989</v>
      </c>
    </row>
    <row r="368" spans="1:8" ht="60.75" thickBot="1" x14ac:dyDescent="0.3">
      <c r="A368" s="97">
        <v>23</v>
      </c>
      <c r="B368" s="98" t="s">
        <v>241</v>
      </c>
      <c r="C368" s="98">
        <v>994</v>
      </c>
      <c r="D368" s="99" t="s">
        <v>625</v>
      </c>
      <c r="E368" s="98" t="s">
        <v>620</v>
      </c>
      <c r="F368" s="98">
        <v>50</v>
      </c>
      <c r="G368" s="100">
        <v>6.39</v>
      </c>
      <c r="H368" s="101">
        <f t="shared" si="6"/>
        <v>319.5</v>
      </c>
    </row>
    <row r="369" spans="1:8" ht="24.75" thickBot="1" x14ac:dyDescent="0.3">
      <c r="A369" s="97">
        <v>24</v>
      </c>
      <c r="B369" s="98" t="s">
        <v>241</v>
      </c>
      <c r="C369" s="98">
        <v>34602</v>
      </c>
      <c r="D369" s="99" t="s">
        <v>626</v>
      </c>
      <c r="E369" s="98" t="s">
        <v>620</v>
      </c>
      <c r="F369" s="98">
        <v>200</v>
      </c>
      <c r="G369" s="100">
        <v>4.45</v>
      </c>
      <c r="H369" s="101">
        <f t="shared" si="6"/>
        <v>890</v>
      </c>
    </row>
    <row r="370" spans="1:8" ht="24.75" thickBot="1" x14ac:dyDescent="0.3">
      <c r="A370" s="97">
        <v>25</v>
      </c>
      <c r="B370" s="98" t="s">
        <v>241</v>
      </c>
      <c r="C370" s="98">
        <v>34607</v>
      </c>
      <c r="D370" s="99" t="s">
        <v>627</v>
      </c>
      <c r="E370" s="98" t="s">
        <v>620</v>
      </c>
      <c r="F370" s="98">
        <v>200</v>
      </c>
      <c r="G370" s="100">
        <v>10.91</v>
      </c>
      <c r="H370" s="101">
        <f t="shared" si="6"/>
        <v>2182</v>
      </c>
    </row>
    <row r="371" spans="1:8" ht="24.75" thickBot="1" x14ac:dyDescent="0.3">
      <c r="A371" s="97">
        <v>26</v>
      </c>
      <c r="B371" s="98" t="s">
        <v>241</v>
      </c>
      <c r="C371" s="98">
        <v>34609</v>
      </c>
      <c r="D371" s="99" t="s">
        <v>628</v>
      </c>
      <c r="E371" s="98" t="s">
        <v>620</v>
      </c>
      <c r="F371" s="98">
        <v>200</v>
      </c>
      <c r="G371" s="100">
        <v>15.87</v>
      </c>
      <c r="H371" s="101">
        <f t="shared" si="6"/>
        <v>3174</v>
      </c>
    </row>
    <row r="372" spans="1:8" ht="24.75" thickBot="1" x14ac:dyDescent="0.3">
      <c r="A372" s="97">
        <v>27</v>
      </c>
      <c r="B372" s="98" t="s">
        <v>241</v>
      </c>
      <c r="C372" s="98">
        <v>34618</v>
      </c>
      <c r="D372" s="99" t="s">
        <v>629</v>
      </c>
      <c r="E372" s="98" t="s">
        <v>620</v>
      </c>
      <c r="F372" s="98">
        <v>200</v>
      </c>
      <c r="G372" s="100">
        <v>6.07</v>
      </c>
      <c r="H372" s="101">
        <f t="shared" si="6"/>
        <v>1214</v>
      </c>
    </row>
    <row r="373" spans="1:8" ht="24.75" thickBot="1" x14ac:dyDescent="0.3">
      <c r="A373" s="97">
        <v>28</v>
      </c>
      <c r="B373" s="98" t="s">
        <v>241</v>
      </c>
      <c r="C373" s="98">
        <v>34621</v>
      </c>
      <c r="D373" s="99" t="s">
        <v>630</v>
      </c>
      <c r="E373" s="98" t="s">
        <v>620</v>
      </c>
      <c r="F373" s="98">
        <v>150</v>
      </c>
      <c r="G373" s="100">
        <v>15.04</v>
      </c>
      <c r="H373" s="101">
        <f t="shared" si="6"/>
        <v>2256</v>
      </c>
    </row>
    <row r="374" spans="1:8" ht="24.75" thickBot="1" x14ac:dyDescent="0.3">
      <c r="A374" s="97">
        <v>29</v>
      </c>
      <c r="B374" s="98" t="s">
        <v>241</v>
      </c>
      <c r="C374" s="98">
        <v>34622</v>
      </c>
      <c r="D374" s="99" t="s">
        <v>631</v>
      </c>
      <c r="E374" s="98" t="s">
        <v>620</v>
      </c>
      <c r="F374" s="98">
        <v>150</v>
      </c>
      <c r="G374" s="100">
        <v>22.34</v>
      </c>
      <c r="H374" s="101">
        <f t="shared" si="6"/>
        <v>3351</v>
      </c>
    </row>
    <row r="375" spans="1:8" ht="24.75" thickBot="1" x14ac:dyDescent="0.3">
      <c r="A375" s="97">
        <v>30</v>
      </c>
      <c r="B375" s="98" t="s">
        <v>241</v>
      </c>
      <c r="C375" s="98">
        <v>34624</v>
      </c>
      <c r="D375" s="99" t="s">
        <v>632</v>
      </c>
      <c r="E375" s="98" t="s">
        <v>620</v>
      </c>
      <c r="F375" s="98">
        <v>200</v>
      </c>
      <c r="G375" s="100">
        <v>8.1</v>
      </c>
      <c r="H375" s="101">
        <f t="shared" si="6"/>
        <v>1620</v>
      </c>
    </row>
    <row r="376" spans="1:8" ht="24.75" thickBot="1" x14ac:dyDescent="0.3">
      <c r="A376" s="97">
        <v>31</v>
      </c>
      <c r="B376" s="98" t="s">
        <v>241</v>
      </c>
      <c r="C376" s="98">
        <v>34627</v>
      </c>
      <c r="D376" s="99" t="s">
        <v>633</v>
      </c>
      <c r="E376" s="98" t="s">
        <v>620</v>
      </c>
      <c r="F376" s="98">
        <v>200</v>
      </c>
      <c r="G376" s="100">
        <v>19.54</v>
      </c>
      <c r="H376" s="101">
        <f t="shared" si="6"/>
        <v>3908</v>
      </c>
    </row>
    <row r="377" spans="1:8" ht="24.75" thickBot="1" x14ac:dyDescent="0.3">
      <c r="A377" s="97">
        <v>32</v>
      </c>
      <c r="B377" s="98" t="s">
        <v>241</v>
      </c>
      <c r="C377" s="98">
        <v>34629</v>
      </c>
      <c r="D377" s="99" t="s">
        <v>634</v>
      </c>
      <c r="E377" s="98" t="s">
        <v>620</v>
      </c>
      <c r="F377" s="98">
        <v>150</v>
      </c>
      <c r="G377" s="100">
        <v>29.85</v>
      </c>
      <c r="H377" s="101">
        <f t="shared" si="6"/>
        <v>4477.5</v>
      </c>
    </row>
    <row r="378" spans="1:8" ht="60.75" thickBot="1" x14ac:dyDescent="0.3">
      <c r="A378" s="97">
        <v>33</v>
      </c>
      <c r="B378" s="98" t="s">
        <v>241</v>
      </c>
      <c r="C378" s="98">
        <v>39257</v>
      </c>
      <c r="D378" s="99" t="s">
        <v>635</v>
      </c>
      <c r="E378" s="98" t="s">
        <v>620</v>
      </c>
      <c r="F378" s="98">
        <v>50</v>
      </c>
      <c r="G378" s="100">
        <v>6.07</v>
      </c>
      <c r="H378" s="101">
        <f t="shared" si="6"/>
        <v>303.5</v>
      </c>
    </row>
    <row r="379" spans="1:8" ht="60.75" thickBot="1" x14ac:dyDescent="0.3">
      <c r="A379" s="97">
        <v>34</v>
      </c>
      <c r="B379" s="98" t="s">
        <v>241</v>
      </c>
      <c r="C379" s="98">
        <v>39261</v>
      </c>
      <c r="D379" s="99" t="s">
        <v>636</v>
      </c>
      <c r="E379" s="98" t="s">
        <v>620</v>
      </c>
      <c r="F379" s="98">
        <v>50</v>
      </c>
      <c r="G379" s="100">
        <v>34.78</v>
      </c>
      <c r="H379" s="101">
        <f t="shared" si="6"/>
        <v>1739</v>
      </c>
    </row>
    <row r="380" spans="1:8" ht="60.75" thickBot="1" x14ac:dyDescent="0.3">
      <c r="A380" s="97">
        <v>35</v>
      </c>
      <c r="B380" s="98" t="s">
        <v>241</v>
      </c>
      <c r="C380" s="98">
        <v>39262</v>
      </c>
      <c r="D380" s="99" t="s">
        <v>637</v>
      </c>
      <c r="E380" s="98" t="s">
        <v>620</v>
      </c>
      <c r="F380" s="98">
        <v>50</v>
      </c>
      <c r="G380" s="100">
        <v>55.39</v>
      </c>
      <c r="H380" s="101">
        <f t="shared" si="6"/>
        <v>2769.5</v>
      </c>
    </row>
    <row r="381" spans="1:8" ht="60.75" thickBot="1" x14ac:dyDescent="0.3">
      <c r="A381" s="97">
        <v>36</v>
      </c>
      <c r="B381" s="98" t="s">
        <v>241</v>
      </c>
      <c r="C381" s="98">
        <v>39258</v>
      </c>
      <c r="D381" s="99" t="s">
        <v>638</v>
      </c>
      <c r="E381" s="98" t="s">
        <v>620</v>
      </c>
      <c r="F381" s="98">
        <v>50</v>
      </c>
      <c r="G381" s="100">
        <v>9.16</v>
      </c>
      <c r="H381" s="101">
        <f t="shared" si="6"/>
        <v>458</v>
      </c>
    </row>
    <row r="382" spans="1:8" ht="60.75" thickBot="1" x14ac:dyDescent="0.3">
      <c r="A382" s="97">
        <v>37</v>
      </c>
      <c r="B382" s="98" t="s">
        <v>241</v>
      </c>
      <c r="C382" s="98">
        <v>39259</v>
      </c>
      <c r="D382" s="99" t="s">
        <v>639</v>
      </c>
      <c r="E382" s="98" t="s">
        <v>620</v>
      </c>
      <c r="F382" s="98">
        <v>50</v>
      </c>
      <c r="G382" s="100">
        <v>14.1</v>
      </c>
      <c r="H382" s="101">
        <f t="shared" si="6"/>
        <v>705</v>
      </c>
    </row>
    <row r="383" spans="1:8" ht="60.75" thickBot="1" x14ac:dyDescent="0.3">
      <c r="A383" s="97">
        <v>38</v>
      </c>
      <c r="B383" s="98" t="s">
        <v>241</v>
      </c>
      <c r="C383" s="98">
        <v>39260</v>
      </c>
      <c r="D383" s="99" t="s">
        <v>640</v>
      </c>
      <c r="E383" s="98" t="s">
        <v>620</v>
      </c>
      <c r="F383" s="98">
        <v>50</v>
      </c>
      <c r="G383" s="100">
        <v>21.59</v>
      </c>
      <c r="H383" s="101">
        <f t="shared" si="6"/>
        <v>1079.5</v>
      </c>
    </row>
    <row r="384" spans="1:8" ht="24.75" thickBot="1" x14ac:dyDescent="0.3">
      <c r="A384" s="97">
        <v>39</v>
      </c>
      <c r="B384" s="98" t="s">
        <v>241</v>
      </c>
      <c r="C384" s="98">
        <v>11902</v>
      </c>
      <c r="D384" s="99" t="s">
        <v>641</v>
      </c>
      <c r="E384" s="98" t="s">
        <v>620</v>
      </c>
      <c r="F384" s="98">
        <v>100</v>
      </c>
      <c r="G384" s="100">
        <v>1.85</v>
      </c>
      <c r="H384" s="101">
        <f t="shared" si="6"/>
        <v>185</v>
      </c>
    </row>
    <row r="385" spans="1:8" ht="24.75" thickBot="1" x14ac:dyDescent="0.3">
      <c r="A385" s="97">
        <v>40</v>
      </c>
      <c r="B385" s="98" t="s">
        <v>241</v>
      </c>
      <c r="C385" s="98">
        <v>11906</v>
      </c>
      <c r="D385" s="99" t="s">
        <v>642</v>
      </c>
      <c r="E385" s="98" t="s">
        <v>620</v>
      </c>
      <c r="F385" s="98">
        <v>100</v>
      </c>
      <c r="G385" s="100">
        <v>4.5999999999999996</v>
      </c>
      <c r="H385" s="101">
        <f t="shared" si="6"/>
        <v>459.99999999999994</v>
      </c>
    </row>
    <row r="386" spans="1:8" ht="24.75" thickBot="1" x14ac:dyDescent="0.3">
      <c r="A386" s="97">
        <v>41</v>
      </c>
      <c r="B386" s="98" t="s">
        <v>241</v>
      </c>
      <c r="C386" s="98">
        <v>39599</v>
      </c>
      <c r="D386" s="99" t="s">
        <v>643</v>
      </c>
      <c r="E386" s="98" t="s">
        <v>620</v>
      </c>
      <c r="F386" s="98">
        <v>200</v>
      </c>
      <c r="G386" s="100">
        <v>10.72</v>
      </c>
      <c r="H386" s="101">
        <f t="shared" si="6"/>
        <v>2144</v>
      </c>
    </row>
    <row r="387" spans="1:8" ht="36.75" thickBot="1" x14ac:dyDescent="0.3">
      <c r="A387" s="97">
        <v>42</v>
      </c>
      <c r="B387" s="98" t="s">
        <v>241</v>
      </c>
      <c r="C387" s="98">
        <v>1872</v>
      </c>
      <c r="D387" s="99" t="s">
        <v>644</v>
      </c>
      <c r="E387" s="98" t="s">
        <v>286</v>
      </c>
      <c r="F387" s="98">
        <v>50</v>
      </c>
      <c r="G387" s="100">
        <v>2.75</v>
      </c>
      <c r="H387" s="101">
        <f t="shared" si="6"/>
        <v>137.5</v>
      </c>
    </row>
    <row r="388" spans="1:8" ht="48.75" thickBot="1" x14ac:dyDescent="0.3">
      <c r="A388" s="97">
        <v>43</v>
      </c>
      <c r="B388" s="98" t="s">
        <v>241</v>
      </c>
      <c r="C388" s="98">
        <v>43103</v>
      </c>
      <c r="D388" s="99" t="s">
        <v>645</v>
      </c>
      <c r="E388" s="98" t="s">
        <v>286</v>
      </c>
      <c r="F388" s="98">
        <v>4</v>
      </c>
      <c r="G388" s="100">
        <v>239.63</v>
      </c>
      <c r="H388" s="101">
        <f t="shared" si="6"/>
        <v>958.52</v>
      </c>
    </row>
    <row r="389" spans="1:8" ht="36.75" thickBot="1" x14ac:dyDescent="0.3">
      <c r="A389" s="97">
        <v>44</v>
      </c>
      <c r="B389" s="98" t="s">
        <v>241</v>
      </c>
      <c r="C389" s="98">
        <v>2559</v>
      </c>
      <c r="D389" s="99" t="s">
        <v>646</v>
      </c>
      <c r="E389" s="98" t="s">
        <v>286</v>
      </c>
      <c r="F389" s="98">
        <v>20</v>
      </c>
      <c r="G389" s="100">
        <v>13.05</v>
      </c>
      <c r="H389" s="101">
        <f t="shared" si="6"/>
        <v>261</v>
      </c>
    </row>
    <row r="390" spans="1:8" ht="36.75" thickBot="1" x14ac:dyDescent="0.3">
      <c r="A390" s="97">
        <v>45</v>
      </c>
      <c r="B390" s="98" t="s">
        <v>241</v>
      </c>
      <c r="C390" s="98">
        <v>2565</v>
      </c>
      <c r="D390" s="99" t="s">
        <v>647</v>
      </c>
      <c r="E390" s="98" t="s">
        <v>286</v>
      </c>
      <c r="F390" s="98">
        <v>20</v>
      </c>
      <c r="G390" s="100">
        <v>10.57</v>
      </c>
      <c r="H390" s="101">
        <f t="shared" si="6"/>
        <v>211.4</v>
      </c>
    </row>
    <row r="391" spans="1:8" ht="36.75" thickBot="1" x14ac:dyDescent="0.3">
      <c r="A391" s="97">
        <v>46</v>
      </c>
      <c r="B391" s="98" t="s">
        <v>241</v>
      </c>
      <c r="C391" s="98">
        <v>2593</v>
      </c>
      <c r="D391" s="99" t="s">
        <v>648</v>
      </c>
      <c r="E391" s="98" t="s">
        <v>286</v>
      </c>
      <c r="F391" s="98">
        <v>20</v>
      </c>
      <c r="G391" s="100">
        <v>10.92</v>
      </c>
      <c r="H391" s="101">
        <f t="shared" si="6"/>
        <v>218.4</v>
      </c>
    </row>
    <row r="392" spans="1:8" ht="36.75" thickBot="1" x14ac:dyDescent="0.3">
      <c r="A392" s="97">
        <v>47</v>
      </c>
      <c r="B392" s="98" t="s">
        <v>241</v>
      </c>
      <c r="C392" s="98">
        <v>2574</v>
      </c>
      <c r="D392" s="99" t="s">
        <v>649</v>
      </c>
      <c r="E392" s="98" t="s">
        <v>286</v>
      </c>
      <c r="F392" s="98">
        <v>20</v>
      </c>
      <c r="G392" s="100">
        <v>12.6</v>
      </c>
      <c r="H392" s="101">
        <f t="shared" si="6"/>
        <v>252</v>
      </c>
    </row>
    <row r="393" spans="1:8" ht="36.75" thickBot="1" x14ac:dyDescent="0.3">
      <c r="A393" s="97">
        <v>48</v>
      </c>
      <c r="B393" s="98" t="s">
        <v>241</v>
      </c>
      <c r="C393" s="98">
        <v>1602</v>
      </c>
      <c r="D393" s="99" t="s">
        <v>650</v>
      </c>
      <c r="E393" s="98" t="s">
        <v>286</v>
      </c>
      <c r="F393" s="98">
        <v>6</v>
      </c>
      <c r="G393" s="100">
        <v>59.95</v>
      </c>
      <c r="H393" s="101">
        <f t="shared" si="6"/>
        <v>359.70000000000005</v>
      </c>
    </row>
    <row r="394" spans="1:8" ht="36.75" thickBot="1" x14ac:dyDescent="0.3">
      <c r="A394" s="97">
        <v>49</v>
      </c>
      <c r="B394" s="98" t="s">
        <v>241</v>
      </c>
      <c r="C394" s="98">
        <v>1601</v>
      </c>
      <c r="D394" s="99" t="s">
        <v>651</v>
      </c>
      <c r="E394" s="98" t="s">
        <v>286</v>
      </c>
      <c r="F394" s="98">
        <v>6</v>
      </c>
      <c r="G394" s="100">
        <v>53.43</v>
      </c>
      <c r="H394" s="101">
        <f t="shared" si="6"/>
        <v>320.58</v>
      </c>
    </row>
    <row r="395" spans="1:8" ht="36.75" thickBot="1" x14ac:dyDescent="0.3">
      <c r="A395" s="97">
        <v>50</v>
      </c>
      <c r="B395" s="98" t="s">
        <v>241</v>
      </c>
      <c r="C395" s="98">
        <v>1600</v>
      </c>
      <c r="D395" s="99" t="s">
        <v>652</v>
      </c>
      <c r="E395" s="98" t="s">
        <v>286</v>
      </c>
      <c r="F395" s="98">
        <v>6</v>
      </c>
      <c r="G395" s="100">
        <v>23.34</v>
      </c>
      <c r="H395" s="101">
        <f t="shared" si="6"/>
        <v>140.04</v>
      </c>
    </row>
    <row r="396" spans="1:8" ht="36.75" thickBot="1" x14ac:dyDescent="0.3">
      <c r="A396" s="97">
        <v>51</v>
      </c>
      <c r="B396" s="98" t="s">
        <v>241</v>
      </c>
      <c r="C396" s="98">
        <v>1598</v>
      </c>
      <c r="D396" s="99" t="s">
        <v>653</v>
      </c>
      <c r="E396" s="98" t="s">
        <v>286</v>
      </c>
      <c r="F396" s="98">
        <v>6</v>
      </c>
      <c r="G396" s="100">
        <v>15.81</v>
      </c>
      <c r="H396" s="101">
        <f t="shared" si="6"/>
        <v>94.86</v>
      </c>
    </row>
    <row r="397" spans="1:8" ht="36.75" thickBot="1" x14ac:dyDescent="0.3">
      <c r="A397" s="97">
        <v>52</v>
      </c>
      <c r="B397" s="98" t="s">
        <v>241</v>
      </c>
      <c r="C397" s="98">
        <v>1603</v>
      </c>
      <c r="D397" s="99" t="s">
        <v>654</v>
      </c>
      <c r="E397" s="98" t="s">
        <v>286</v>
      </c>
      <c r="F397" s="98">
        <v>6</v>
      </c>
      <c r="G397" s="100">
        <v>90.51</v>
      </c>
      <c r="H397" s="101">
        <f t="shared" si="6"/>
        <v>543.06000000000006</v>
      </c>
    </row>
    <row r="398" spans="1:8" ht="36.75" thickBot="1" x14ac:dyDescent="0.3">
      <c r="A398" s="97">
        <v>53</v>
      </c>
      <c r="B398" s="98" t="s">
        <v>241</v>
      </c>
      <c r="C398" s="98">
        <v>1599</v>
      </c>
      <c r="D398" s="99" t="s">
        <v>655</v>
      </c>
      <c r="E398" s="98" t="s">
        <v>286</v>
      </c>
      <c r="F398" s="98">
        <v>6</v>
      </c>
      <c r="G398" s="100">
        <v>18.350000000000001</v>
      </c>
      <c r="H398" s="101">
        <f t="shared" si="6"/>
        <v>110.10000000000001</v>
      </c>
    </row>
    <row r="399" spans="1:8" ht="36.75" thickBot="1" x14ac:dyDescent="0.3">
      <c r="A399" s="97">
        <v>54</v>
      </c>
      <c r="B399" s="98" t="s">
        <v>241</v>
      </c>
      <c r="C399" s="98">
        <v>1597</v>
      </c>
      <c r="D399" s="99" t="s">
        <v>656</v>
      </c>
      <c r="E399" s="98" t="s">
        <v>286</v>
      </c>
      <c r="F399" s="98">
        <v>6</v>
      </c>
      <c r="G399" s="100">
        <v>14.87</v>
      </c>
      <c r="H399" s="101">
        <f t="shared" si="6"/>
        <v>89.22</v>
      </c>
    </row>
    <row r="400" spans="1:8" ht="48.75" thickBot="1" x14ac:dyDescent="0.3">
      <c r="A400" s="97">
        <v>55</v>
      </c>
      <c r="B400" s="98" t="s">
        <v>241</v>
      </c>
      <c r="C400" s="98">
        <v>11821</v>
      </c>
      <c r="D400" s="99" t="s">
        <v>657</v>
      </c>
      <c r="E400" s="98" t="s">
        <v>286</v>
      </c>
      <c r="F400" s="98">
        <v>6</v>
      </c>
      <c r="G400" s="100">
        <v>12.21</v>
      </c>
      <c r="H400" s="101">
        <f t="shared" si="6"/>
        <v>73.260000000000005</v>
      </c>
    </row>
    <row r="401" spans="1:8" ht="48.75" thickBot="1" x14ac:dyDescent="0.3">
      <c r="A401" s="97">
        <v>56</v>
      </c>
      <c r="B401" s="98" t="s">
        <v>241</v>
      </c>
      <c r="C401" s="98">
        <v>1562</v>
      </c>
      <c r="D401" s="99" t="s">
        <v>658</v>
      </c>
      <c r="E401" s="98" t="s">
        <v>286</v>
      </c>
      <c r="F401" s="98">
        <v>6</v>
      </c>
      <c r="G401" s="100">
        <v>20</v>
      </c>
      <c r="H401" s="101">
        <f t="shared" si="6"/>
        <v>120</v>
      </c>
    </row>
    <row r="402" spans="1:8" ht="48.75" thickBot="1" x14ac:dyDescent="0.3">
      <c r="A402" s="97">
        <v>57</v>
      </c>
      <c r="B402" s="98" t="s">
        <v>241</v>
      </c>
      <c r="C402" s="98">
        <v>1563</v>
      </c>
      <c r="D402" s="99" t="s">
        <v>659</v>
      </c>
      <c r="E402" s="98" t="s">
        <v>286</v>
      </c>
      <c r="F402" s="98">
        <v>6</v>
      </c>
      <c r="G402" s="100">
        <v>26.83</v>
      </c>
      <c r="H402" s="101">
        <f t="shared" si="6"/>
        <v>160.97999999999999</v>
      </c>
    </row>
    <row r="403" spans="1:8" ht="36.75" thickBot="1" x14ac:dyDescent="0.3">
      <c r="A403" s="97">
        <v>58</v>
      </c>
      <c r="B403" s="98" t="s">
        <v>241</v>
      </c>
      <c r="C403" s="98">
        <v>11856</v>
      </c>
      <c r="D403" s="99" t="s">
        <v>660</v>
      </c>
      <c r="E403" s="98" t="s">
        <v>286</v>
      </c>
      <c r="F403" s="98">
        <v>6</v>
      </c>
      <c r="G403" s="100">
        <v>8</v>
      </c>
      <c r="H403" s="101">
        <f t="shared" si="6"/>
        <v>48</v>
      </c>
    </row>
    <row r="404" spans="1:8" ht="36.75" thickBot="1" x14ac:dyDescent="0.3">
      <c r="A404" s="97">
        <v>59</v>
      </c>
      <c r="B404" s="98" t="s">
        <v>241</v>
      </c>
      <c r="C404" s="98">
        <v>11857</v>
      </c>
      <c r="D404" s="99" t="s">
        <v>661</v>
      </c>
      <c r="E404" s="98" t="s">
        <v>286</v>
      </c>
      <c r="F404" s="98">
        <v>6</v>
      </c>
      <c r="G404" s="100">
        <v>42.1</v>
      </c>
      <c r="H404" s="101">
        <f t="shared" si="6"/>
        <v>252.60000000000002</v>
      </c>
    </row>
    <row r="405" spans="1:8" ht="36.75" thickBot="1" x14ac:dyDescent="0.3">
      <c r="A405" s="97">
        <v>60</v>
      </c>
      <c r="B405" s="98" t="s">
        <v>241</v>
      </c>
      <c r="C405" s="98">
        <v>11858</v>
      </c>
      <c r="D405" s="99" t="s">
        <v>662</v>
      </c>
      <c r="E405" s="98" t="s">
        <v>286</v>
      </c>
      <c r="F405" s="98">
        <v>6</v>
      </c>
      <c r="G405" s="100">
        <v>52.25</v>
      </c>
      <c r="H405" s="101">
        <f t="shared" si="6"/>
        <v>313.5</v>
      </c>
    </row>
    <row r="406" spans="1:8" ht="36.75" thickBot="1" x14ac:dyDescent="0.3">
      <c r="A406" s="97">
        <v>61</v>
      </c>
      <c r="B406" s="98" t="s">
        <v>241</v>
      </c>
      <c r="C406" s="98">
        <v>1539</v>
      </c>
      <c r="D406" s="99" t="s">
        <v>663</v>
      </c>
      <c r="E406" s="98" t="s">
        <v>286</v>
      </c>
      <c r="F406" s="98">
        <v>6</v>
      </c>
      <c r="G406" s="100">
        <v>9.4</v>
      </c>
      <c r="H406" s="101">
        <f t="shared" si="6"/>
        <v>56.400000000000006</v>
      </c>
    </row>
    <row r="407" spans="1:8" ht="36.75" thickBot="1" x14ac:dyDescent="0.3">
      <c r="A407" s="97">
        <v>62</v>
      </c>
      <c r="B407" s="98" t="s">
        <v>241</v>
      </c>
      <c r="C407" s="98">
        <v>11859</v>
      </c>
      <c r="D407" s="99" t="s">
        <v>664</v>
      </c>
      <c r="E407" s="98" t="s">
        <v>286</v>
      </c>
      <c r="F407" s="98">
        <v>6</v>
      </c>
      <c r="G407" s="100">
        <v>71.09</v>
      </c>
      <c r="H407" s="101">
        <f t="shared" si="6"/>
        <v>426.54</v>
      </c>
    </row>
    <row r="408" spans="1:8" ht="36.75" thickBot="1" x14ac:dyDescent="0.3">
      <c r="A408" s="97">
        <v>63</v>
      </c>
      <c r="B408" s="98" t="s">
        <v>241</v>
      </c>
      <c r="C408" s="98">
        <v>1550</v>
      </c>
      <c r="D408" s="99" t="s">
        <v>665</v>
      </c>
      <c r="E408" s="98" t="s">
        <v>286</v>
      </c>
      <c r="F408" s="98">
        <v>6</v>
      </c>
      <c r="G408" s="100">
        <v>9.92</v>
      </c>
      <c r="H408" s="101">
        <f t="shared" si="6"/>
        <v>59.519999999999996</v>
      </c>
    </row>
    <row r="409" spans="1:8" ht="36.75" thickBot="1" x14ac:dyDescent="0.3">
      <c r="A409" s="97">
        <v>64</v>
      </c>
      <c r="B409" s="98" t="s">
        <v>241</v>
      </c>
      <c r="C409" s="98">
        <v>11854</v>
      </c>
      <c r="D409" s="99" t="s">
        <v>666</v>
      </c>
      <c r="E409" s="98" t="s">
        <v>286</v>
      </c>
      <c r="F409" s="98">
        <v>6</v>
      </c>
      <c r="G409" s="100">
        <v>12.39</v>
      </c>
      <c r="H409" s="101">
        <f t="shared" si="6"/>
        <v>74.34</v>
      </c>
    </row>
    <row r="410" spans="1:8" ht="36.75" thickBot="1" x14ac:dyDescent="0.3">
      <c r="A410" s="97">
        <v>65</v>
      </c>
      <c r="B410" s="98" t="s">
        <v>241</v>
      </c>
      <c r="C410" s="98">
        <v>11862</v>
      </c>
      <c r="D410" s="99" t="s">
        <v>667</v>
      </c>
      <c r="E410" s="98" t="s">
        <v>286</v>
      </c>
      <c r="F410" s="98">
        <v>6</v>
      </c>
      <c r="G410" s="100">
        <v>17.38</v>
      </c>
      <c r="H410" s="101">
        <f t="shared" si="6"/>
        <v>104.28</v>
      </c>
    </row>
    <row r="411" spans="1:8" ht="36.75" thickBot="1" x14ac:dyDescent="0.3">
      <c r="A411" s="97">
        <v>66</v>
      </c>
      <c r="B411" s="98" t="s">
        <v>241</v>
      </c>
      <c r="C411" s="98">
        <v>11863</v>
      </c>
      <c r="D411" s="99" t="s">
        <v>668</v>
      </c>
      <c r="E411" s="98" t="s">
        <v>286</v>
      </c>
      <c r="F411" s="98">
        <v>6</v>
      </c>
      <c r="G411" s="100">
        <v>7.02</v>
      </c>
      <c r="H411" s="101">
        <f t="shared" ref="H411:H474" si="7">F411*G411</f>
        <v>42.12</v>
      </c>
    </row>
    <row r="412" spans="1:8" ht="36.75" thickBot="1" x14ac:dyDescent="0.3">
      <c r="A412" s="97">
        <v>67</v>
      </c>
      <c r="B412" s="98" t="s">
        <v>241</v>
      </c>
      <c r="C412" s="98">
        <v>11855</v>
      </c>
      <c r="D412" s="99" t="s">
        <v>669</v>
      </c>
      <c r="E412" s="98" t="s">
        <v>286</v>
      </c>
      <c r="F412" s="98">
        <v>6</v>
      </c>
      <c r="G412" s="100">
        <v>25.95</v>
      </c>
      <c r="H412" s="101">
        <f t="shared" si="7"/>
        <v>155.69999999999999</v>
      </c>
    </row>
    <row r="413" spans="1:8" ht="36.75" thickBot="1" x14ac:dyDescent="0.3">
      <c r="A413" s="97">
        <v>68</v>
      </c>
      <c r="B413" s="98" t="s">
        <v>241</v>
      </c>
      <c r="C413" s="98">
        <v>11864</v>
      </c>
      <c r="D413" s="99" t="s">
        <v>670</v>
      </c>
      <c r="E413" s="98" t="s">
        <v>286</v>
      </c>
      <c r="F413" s="98">
        <v>2</v>
      </c>
      <c r="G413" s="100">
        <v>39.229999999999997</v>
      </c>
      <c r="H413" s="101">
        <f t="shared" si="7"/>
        <v>78.459999999999994</v>
      </c>
    </row>
    <row r="414" spans="1:8" ht="48.75" thickBot="1" x14ac:dyDescent="0.3">
      <c r="A414" s="97">
        <v>69</v>
      </c>
      <c r="B414" s="98" t="s">
        <v>241</v>
      </c>
      <c r="C414" s="98">
        <v>2527</v>
      </c>
      <c r="D414" s="99" t="s">
        <v>671</v>
      </c>
      <c r="E414" s="98" t="s">
        <v>286</v>
      </c>
      <c r="F414" s="98">
        <v>10</v>
      </c>
      <c r="G414" s="100">
        <v>8.2899999999999991</v>
      </c>
      <c r="H414" s="101">
        <f t="shared" si="7"/>
        <v>82.899999999999991</v>
      </c>
    </row>
    <row r="415" spans="1:8" ht="48.75" thickBot="1" x14ac:dyDescent="0.3">
      <c r="A415" s="97">
        <v>70</v>
      </c>
      <c r="B415" s="98" t="s">
        <v>241</v>
      </c>
      <c r="C415" s="98">
        <v>2526</v>
      </c>
      <c r="D415" s="99" t="s">
        <v>672</v>
      </c>
      <c r="E415" s="98" t="s">
        <v>286</v>
      </c>
      <c r="F415" s="98">
        <v>10</v>
      </c>
      <c r="G415" s="100">
        <v>5.31</v>
      </c>
      <c r="H415" s="101">
        <f t="shared" si="7"/>
        <v>53.099999999999994</v>
      </c>
    </row>
    <row r="416" spans="1:8" ht="48.75" thickBot="1" x14ac:dyDescent="0.3">
      <c r="A416" s="97">
        <v>71</v>
      </c>
      <c r="B416" s="98" t="s">
        <v>241</v>
      </c>
      <c r="C416" s="98">
        <v>2483</v>
      </c>
      <c r="D416" s="99" t="s">
        <v>673</v>
      </c>
      <c r="E416" s="98" t="s">
        <v>286</v>
      </c>
      <c r="F416" s="98">
        <v>10</v>
      </c>
      <c r="G416" s="100">
        <v>3.78</v>
      </c>
      <c r="H416" s="101">
        <f t="shared" si="7"/>
        <v>37.799999999999997</v>
      </c>
    </row>
    <row r="417" spans="1:8" ht="48.75" thickBot="1" x14ac:dyDescent="0.3">
      <c r="A417" s="97">
        <v>72</v>
      </c>
      <c r="B417" s="98" t="s">
        <v>241</v>
      </c>
      <c r="C417" s="98">
        <v>2487</v>
      </c>
      <c r="D417" s="99" t="s">
        <v>674</v>
      </c>
      <c r="E417" s="98" t="s">
        <v>286</v>
      </c>
      <c r="F417" s="98">
        <v>10</v>
      </c>
      <c r="G417" s="100">
        <v>1.81</v>
      </c>
      <c r="H417" s="101">
        <f t="shared" si="7"/>
        <v>18.100000000000001</v>
      </c>
    </row>
    <row r="418" spans="1:8" ht="48.75" thickBot="1" x14ac:dyDescent="0.3">
      <c r="A418" s="97">
        <v>73</v>
      </c>
      <c r="B418" s="98" t="s">
        <v>241</v>
      </c>
      <c r="C418" s="98">
        <v>2528</v>
      </c>
      <c r="D418" s="99" t="s">
        <v>675</v>
      </c>
      <c r="E418" s="98" t="s">
        <v>286</v>
      </c>
      <c r="F418" s="98">
        <v>10</v>
      </c>
      <c r="G418" s="100">
        <v>20.86</v>
      </c>
      <c r="H418" s="101">
        <f t="shared" si="7"/>
        <v>208.6</v>
      </c>
    </row>
    <row r="419" spans="1:8" ht="48.75" thickBot="1" x14ac:dyDescent="0.3">
      <c r="A419" s="97">
        <v>74</v>
      </c>
      <c r="B419" s="98" t="s">
        <v>241</v>
      </c>
      <c r="C419" s="98">
        <v>2489</v>
      </c>
      <c r="D419" s="99" t="s">
        <v>676</v>
      </c>
      <c r="E419" s="98" t="s">
        <v>286</v>
      </c>
      <c r="F419" s="98">
        <v>10</v>
      </c>
      <c r="G419" s="100">
        <v>9.19</v>
      </c>
      <c r="H419" s="101">
        <f t="shared" si="7"/>
        <v>91.899999999999991</v>
      </c>
    </row>
    <row r="420" spans="1:8" ht="48.75" thickBot="1" x14ac:dyDescent="0.3">
      <c r="A420" s="97">
        <v>75</v>
      </c>
      <c r="B420" s="98" t="s">
        <v>241</v>
      </c>
      <c r="C420" s="98">
        <v>2484</v>
      </c>
      <c r="D420" s="99" t="s">
        <v>677</v>
      </c>
      <c r="E420" s="98" t="s">
        <v>286</v>
      </c>
      <c r="F420" s="98">
        <v>10</v>
      </c>
      <c r="G420" s="100">
        <v>30.3</v>
      </c>
      <c r="H420" s="101">
        <f t="shared" si="7"/>
        <v>303</v>
      </c>
    </row>
    <row r="421" spans="1:8" ht="48.75" thickBot="1" x14ac:dyDescent="0.3">
      <c r="A421" s="97">
        <v>76</v>
      </c>
      <c r="B421" s="98" t="s">
        <v>241</v>
      </c>
      <c r="C421" s="98">
        <v>2488</v>
      </c>
      <c r="D421" s="99" t="s">
        <v>678</v>
      </c>
      <c r="E421" s="98" t="s">
        <v>286</v>
      </c>
      <c r="F421" s="98">
        <v>30</v>
      </c>
      <c r="G421" s="100">
        <v>2.12</v>
      </c>
      <c r="H421" s="101">
        <f t="shared" si="7"/>
        <v>63.6</v>
      </c>
    </row>
    <row r="422" spans="1:8" ht="48.75" thickBot="1" x14ac:dyDescent="0.3">
      <c r="A422" s="97">
        <v>77</v>
      </c>
      <c r="B422" s="98" t="s">
        <v>241</v>
      </c>
      <c r="C422" s="98">
        <v>2485</v>
      </c>
      <c r="D422" s="99" t="s">
        <v>679</v>
      </c>
      <c r="E422" s="98" t="s">
        <v>286</v>
      </c>
      <c r="F422" s="98">
        <v>10</v>
      </c>
      <c r="G422" s="100">
        <v>47.49</v>
      </c>
      <c r="H422" s="101">
        <f t="shared" si="7"/>
        <v>474.90000000000003</v>
      </c>
    </row>
    <row r="423" spans="1:8" ht="36.75" thickBot="1" x14ac:dyDescent="0.3">
      <c r="A423" s="97">
        <v>78</v>
      </c>
      <c r="B423" s="98" t="s">
        <v>241</v>
      </c>
      <c r="C423" s="98">
        <v>34729</v>
      </c>
      <c r="D423" s="99" t="s">
        <v>680</v>
      </c>
      <c r="E423" s="98" t="s">
        <v>286</v>
      </c>
      <c r="F423" s="98">
        <v>1</v>
      </c>
      <c r="G423" s="100">
        <v>1176.23</v>
      </c>
      <c r="H423" s="101">
        <f t="shared" si="7"/>
        <v>1176.23</v>
      </c>
    </row>
    <row r="424" spans="1:8" ht="24.75" thickBot="1" x14ac:dyDescent="0.3">
      <c r="A424" s="97">
        <v>79</v>
      </c>
      <c r="B424" s="98" t="s">
        <v>241</v>
      </c>
      <c r="C424" s="98">
        <v>34616</v>
      </c>
      <c r="D424" s="99" t="s">
        <v>681</v>
      </c>
      <c r="E424" s="98" t="s">
        <v>286</v>
      </c>
      <c r="F424" s="98">
        <v>15</v>
      </c>
      <c r="G424" s="100">
        <v>51.78</v>
      </c>
      <c r="H424" s="101">
        <f t="shared" si="7"/>
        <v>776.7</v>
      </c>
    </row>
    <row r="425" spans="1:8" ht="24.75" thickBot="1" x14ac:dyDescent="0.3">
      <c r="A425" s="97">
        <v>80</v>
      </c>
      <c r="B425" s="98" t="s">
        <v>241</v>
      </c>
      <c r="C425" s="98">
        <v>34653</v>
      </c>
      <c r="D425" s="99" t="s">
        <v>682</v>
      </c>
      <c r="E425" s="98" t="s">
        <v>286</v>
      </c>
      <c r="F425" s="98">
        <v>15</v>
      </c>
      <c r="G425" s="100">
        <v>10.23</v>
      </c>
      <c r="H425" s="101">
        <f t="shared" si="7"/>
        <v>153.45000000000002</v>
      </c>
    </row>
    <row r="426" spans="1:8" ht="24.75" thickBot="1" x14ac:dyDescent="0.3">
      <c r="A426" s="97">
        <v>81</v>
      </c>
      <c r="B426" s="98" t="s">
        <v>241</v>
      </c>
      <c r="C426" s="98">
        <v>34709</v>
      </c>
      <c r="D426" s="99" t="s">
        <v>683</v>
      </c>
      <c r="E426" s="98" t="s">
        <v>286</v>
      </c>
      <c r="F426" s="98">
        <v>10</v>
      </c>
      <c r="G426" s="100">
        <v>63.44</v>
      </c>
      <c r="H426" s="101">
        <f t="shared" si="7"/>
        <v>634.4</v>
      </c>
    </row>
    <row r="427" spans="1:8" ht="24.75" thickBot="1" x14ac:dyDescent="0.3">
      <c r="A427" s="97">
        <v>82</v>
      </c>
      <c r="B427" s="98" t="s">
        <v>241</v>
      </c>
      <c r="C427" s="98">
        <v>2373</v>
      </c>
      <c r="D427" s="99" t="s">
        <v>684</v>
      </c>
      <c r="E427" s="98" t="s">
        <v>286</v>
      </c>
      <c r="F427" s="98">
        <v>5</v>
      </c>
      <c r="G427" s="100">
        <v>110.65</v>
      </c>
      <c r="H427" s="101">
        <f t="shared" si="7"/>
        <v>553.25</v>
      </c>
    </row>
    <row r="428" spans="1:8" ht="36.75" thickBot="1" x14ac:dyDescent="0.3">
      <c r="A428" s="97">
        <v>83</v>
      </c>
      <c r="B428" s="98" t="s">
        <v>241</v>
      </c>
      <c r="C428" s="98">
        <v>39445</v>
      </c>
      <c r="D428" s="99" t="s">
        <v>685</v>
      </c>
      <c r="E428" s="98" t="s">
        <v>286</v>
      </c>
      <c r="F428" s="98">
        <v>5</v>
      </c>
      <c r="G428" s="100">
        <v>139.1</v>
      </c>
      <c r="H428" s="101">
        <f t="shared" si="7"/>
        <v>695.5</v>
      </c>
    </row>
    <row r="429" spans="1:8" ht="36.75" thickBot="1" x14ac:dyDescent="0.3">
      <c r="A429" s="97">
        <v>84</v>
      </c>
      <c r="B429" s="98" t="s">
        <v>241</v>
      </c>
      <c r="C429" s="98">
        <v>39446</v>
      </c>
      <c r="D429" s="99" t="s">
        <v>686</v>
      </c>
      <c r="E429" s="98" t="s">
        <v>286</v>
      </c>
      <c r="F429" s="98">
        <v>5</v>
      </c>
      <c r="G429" s="100">
        <v>141.57</v>
      </c>
      <c r="H429" s="101">
        <f t="shared" si="7"/>
        <v>707.84999999999991</v>
      </c>
    </row>
    <row r="430" spans="1:8" ht="24.75" thickBot="1" x14ac:dyDescent="0.3">
      <c r="A430" s="97">
        <v>85</v>
      </c>
      <c r="B430" s="98" t="s">
        <v>241</v>
      </c>
      <c r="C430" s="98">
        <v>2674</v>
      </c>
      <c r="D430" s="99" t="s">
        <v>687</v>
      </c>
      <c r="E430" s="98" t="s">
        <v>620</v>
      </c>
      <c r="F430" s="98">
        <v>150</v>
      </c>
      <c r="G430" s="100">
        <v>5.04</v>
      </c>
      <c r="H430" s="101">
        <f t="shared" si="7"/>
        <v>756</v>
      </c>
    </row>
    <row r="431" spans="1:8" ht="24.75" thickBot="1" x14ac:dyDescent="0.3">
      <c r="A431" s="97">
        <v>86</v>
      </c>
      <c r="B431" s="98" t="s">
        <v>241</v>
      </c>
      <c r="C431" s="98">
        <v>2685</v>
      </c>
      <c r="D431" s="99" t="s">
        <v>688</v>
      </c>
      <c r="E431" s="98" t="s">
        <v>620</v>
      </c>
      <c r="F431" s="98">
        <v>150</v>
      </c>
      <c r="G431" s="100">
        <v>7.88</v>
      </c>
      <c r="H431" s="101">
        <f t="shared" si="7"/>
        <v>1182</v>
      </c>
    </row>
    <row r="432" spans="1:8" ht="24.75" thickBot="1" x14ac:dyDescent="0.3">
      <c r="A432" s="97">
        <v>87</v>
      </c>
      <c r="B432" s="98" t="s">
        <v>241</v>
      </c>
      <c r="C432" s="98">
        <v>2680</v>
      </c>
      <c r="D432" s="99" t="s">
        <v>689</v>
      </c>
      <c r="E432" s="98" t="s">
        <v>620</v>
      </c>
      <c r="F432" s="98">
        <v>100</v>
      </c>
      <c r="G432" s="100">
        <v>11.53</v>
      </c>
      <c r="H432" s="101">
        <f t="shared" si="7"/>
        <v>1153</v>
      </c>
    </row>
    <row r="433" spans="1:8" ht="24.75" thickBot="1" x14ac:dyDescent="0.3">
      <c r="A433" s="97">
        <v>88</v>
      </c>
      <c r="B433" s="98" t="s">
        <v>241</v>
      </c>
      <c r="C433" s="98">
        <v>2681</v>
      </c>
      <c r="D433" s="99" t="s">
        <v>690</v>
      </c>
      <c r="E433" s="98" t="s">
        <v>620</v>
      </c>
      <c r="F433" s="98">
        <v>50</v>
      </c>
      <c r="G433" s="100">
        <v>18.84</v>
      </c>
      <c r="H433" s="101">
        <f t="shared" si="7"/>
        <v>942</v>
      </c>
    </row>
    <row r="434" spans="1:8" ht="60.75" thickBot="1" x14ac:dyDescent="0.3">
      <c r="A434" s="97">
        <v>89</v>
      </c>
      <c r="B434" s="98" t="s">
        <v>241</v>
      </c>
      <c r="C434" s="98">
        <v>2504</v>
      </c>
      <c r="D434" s="99" t="s">
        <v>691</v>
      </c>
      <c r="E434" s="98" t="s">
        <v>620</v>
      </c>
      <c r="F434" s="98">
        <v>100</v>
      </c>
      <c r="G434" s="100">
        <v>12.76</v>
      </c>
      <c r="H434" s="101">
        <f t="shared" si="7"/>
        <v>1276</v>
      </c>
    </row>
    <row r="435" spans="1:8" ht="24.75" thickBot="1" x14ac:dyDescent="0.3">
      <c r="A435" s="97">
        <v>90</v>
      </c>
      <c r="B435" s="98" t="s">
        <v>241</v>
      </c>
      <c r="C435" s="98">
        <v>2687</v>
      </c>
      <c r="D435" s="99" t="s">
        <v>692</v>
      </c>
      <c r="E435" s="98" t="s">
        <v>620</v>
      </c>
      <c r="F435" s="98">
        <v>50</v>
      </c>
      <c r="G435" s="100">
        <v>2.0499999999999998</v>
      </c>
      <c r="H435" s="101">
        <f t="shared" si="7"/>
        <v>102.49999999999999</v>
      </c>
    </row>
    <row r="436" spans="1:8" ht="24.75" thickBot="1" x14ac:dyDescent="0.3">
      <c r="A436" s="97">
        <v>91</v>
      </c>
      <c r="B436" s="98" t="s">
        <v>241</v>
      </c>
      <c r="C436" s="98">
        <v>2689</v>
      </c>
      <c r="D436" s="99" t="s">
        <v>693</v>
      </c>
      <c r="E436" s="98" t="s">
        <v>620</v>
      </c>
      <c r="F436" s="98">
        <v>100</v>
      </c>
      <c r="G436" s="100">
        <v>2.4500000000000002</v>
      </c>
      <c r="H436" s="101">
        <f t="shared" si="7"/>
        <v>245.00000000000003</v>
      </c>
    </row>
    <row r="437" spans="1:8" ht="24.75" thickBot="1" x14ac:dyDescent="0.3">
      <c r="A437" s="97">
        <v>92</v>
      </c>
      <c r="B437" s="98" t="s">
        <v>241</v>
      </c>
      <c r="C437" s="98">
        <v>2688</v>
      </c>
      <c r="D437" s="99" t="s">
        <v>694</v>
      </c>
      <c r="E437" s="98" t="s">
        <v>620</v>
      </c>
      <c r="F437" s="98">
        <v>100</v>
      </c>
      <c r="G437" s="100">
        <v>2.65</v>
      </c>
      <c r="H437" s="101">
        <f t="shared" si="7"/>
        <v>265</v>
      </c>
    </row>
    <row r="438" spans="1:8" ht="24.75" thickBot="1" x14ac:dyDescent="0.3">
      <c r="A438" s="97">
        <v>93</v>
      </c>
      <c r="B438" s="98" t="s">
        <v>241</v>
      </c>
      <c r="C438" s="98">
        <v>2690</v>
      </c>
      <c r="D438" s="99" t="s">
        <v>695</v>
      </c>
      <c r="E438" s="98" t="s">
        <v>620</v>
      </c>
      <c r="F438" s="98">
        <v>100</v>
      </c>
      <c r="G438" s="100">
        <v>4.54</v>
      </c>
      <c r="H438" s="101">
        <f t="shared" si="7"/>
        <v>454</v>
      </c>
    </row>
    <row r="439" spans="1:8" ht="36.75" thickBot="1" x14ac:dyDescent="0.3">
      <c r="A439" s="97">
        <v>94</v>
      </c>
      <c r="B439" s="98" t="s">
        <v>241</v>
      </c>
      <c r="C439" s="98">
        <v>938</v>
      </c>
      <c r="D439" s="99" t="s">
        <v>696</v>
      </c>
      <c r="E439" s="98" t="s">
        <v>620</v>
      </c>
      <c r="F439" s="98">
        <v>20</v>
      </c>
      <c r="G439" s="100">
        <v>1.66</v>
      </c>
      <c r="H439" s="101">
        <f t="shared" si="7"/>
        <v>33.199999999999996</v>
      </c>
    </row>
    <row r="440" spans="1:8" ht="36.75" thickBot="1" x14ac:dyDescent="0.3">
      <c r="A440" s="97">
        <v>95</v>
      </c>
      <c r="B440" s="98" t="s">
        <v>241</v>
      </c>
      <c r="C440" s="98">
        <v>937</v>
      </c>
      <c r="D440" s="99" t="s">
        <v>697</v>
      </c>
      <c r="E440" s="98" t="s">
        <v>620</v>
      </c>
      <c r="F440" s="98">
        <v>20</v>
      </c>
      <c r="G440" s="100">
        <v>9.7100000000000009</v>
      </c>
      <c r="H440" s="101">
        <f t="shared" si="7"/>
        <v>194.20000000000002</v>
      </c>
    </row>
    <row r="441" spans="1:8" ht="36.75" thickBot="1" x14ac:dyDescent="0.3">
      <c r="A441" s="97">
        <v>96</v>
      </c>
      <c r="B441" s="98" t="s">
        <v>241</v>
      </c>
      <c r="C441" s="98">
        <v>939</v>
      </c>
      <c r="D441" s="99" t="s">
        <v>698</v>
      </c>
      <c r="E441" s="98" t="s">
        <v>620</v>
      </c>
      <c r="F441" s="98">
        <v>20</v>
      </c>
      <c r="G441" s="100">
        <v>2.69</v>
      </c>
      <c r="H441" s="101">
        <f t="shared" si="7"/>
        <v>53.8</v>
      </c>
    </row>
    <row r="442" spans="1:8" ht="36.75" thickBot="1" x14ac:dyDescent="0.3">
      <c r="A442" s="97">
        <v>97</v>
      </c>
      <c r="B442" s="98" t="s">
        <v>241</v>
      </c>
      <c r="C442" s="98">
        <v>944</v>
      </c>
      <c r="D442" s="99" t="s">
        <v>699</v>
      </c>
      <c r="E442" s="98" t="s">
        <v>620</v>
      </c>
      <c r="F442" s="98">
        <v>20</v>
      </c>
      <c r="G442" s="100">
        <v>4.25</v>
      </c>
      <c r="H442" s="101">
        <f t="shared" si="7"/>
        <v>85</v>
      </c>
    </row>
    <row r="443" spans="1:8" ht="36.75" thickBot="1" x14ac:dyDescent="0.3">
      <c r="A443" s="97">
        <v>98</v>
      </c>
      <c r="B443" s="98" t="s">
        <v>241</v>
      </c>
      <c r="C443" s="98">
        <v>940</v>
      </c>
      <c r="D443" s="99" t="s">
        <v>700</v>
      </c>
      <c r="E443" s="98" t="s">
        <v>620</v>
      </c>
      <c r="F443" s="98">
        <v>50</v>
      </c>
      <c r="G443" s="100">
        <v>6.14</v>
      </c>
      <c r="H443" s="101">
        <f t="shared" si="7"/>
        <v>307</v>
      </c>
    </row>
    <row r="444" spans="1:8" ht="36.75" thickBot="1" x14ac:dyDescent="0.3">
      <c r="A444" s="97">
        <v>99</v>
      </c>
      <c r="B444" s="98" t="s">
        <v>241</v>
      </c>
      <c r="C444" s="98">
        <v>20111</v>
      </c>
      <c r="D444" s="99" t="s">
        <v>701</v>
      </c>
      <c r="E444" s="98" t="s">
        <v>286</v>
      </c>
      <c r="F444" s="98">
        <v>30</v>
      </c>
      <c r="G444" s="100">
        <v>12.24</v>
      </c>
      <c r="H444" s="101">
        <f t="shared" si="7"/>
        <v>367.2</v>
      </c>
    </row>
    <row r="445" spans="1:8" ht="36.75" thickBot="1" x14ac:dyDescent="0.3">
      <c r="A445" s="97">
        <v>100</v>
      </c>
      <c r="B445" s="98" t="s">
        <v>241</v>
      </c>
      <c r="C445" s="98">
        <v>404</v>
      </c>
      <c r="D445" s="99" t="s">
        <v>702</v>
      </c>
      <c r="E445" s="98" t="s">
        <v>620</v>
      </c>
      <c r="F445" s="98">
        <v>300</v>
      </c>
      <c r="G445" s="100">
        <v>1.66</v>
      </c>
      <c r="H445" s="101">
        <f t="shared" si="7"/>
        <v>498</v>
      </c>
    </row>
    <row r="446" spans="1:8" ht="36.75" thickBot="1" x14ac:dyDescent="0.3">
      <c r="A446" s="97">
        <v>101</v>
      </c>
      <c r="B446" s="98" t="s">
        <v>241</v>
      </c>
      <c r="C446" s="98">
        <v>38064</v>
      </c>
      <c r="D446" s="99" t="s">
        <v>703</v>
      </c>
      <c r="E446" s="98" t="s">
        <v>286</v>
      </c>
      <c r="F446" s="98">
        <v>20</v>
      </c>
      <c r="G446" s="100">
        <v>18.89</v>
      </c>
      <c r="H446" s="101">
        <f t="shared" si="7"/>
        <v>377.8</v>
      </c>
    </row>
    <row r="447" spans="1:8" ht="24.75" thickBot="1" x14ac:dyDescent="0.3">
      <c r="A447" s="97">
        <v>102</v>
      </c>
      <c r="B447" s="98" t="s">
        <v>241</v>
      </c>
      <c r="C447" s="98">
        <v>38114</v>
      </c>
      <c r="D447" s="99" t="s">
        <v>704</v>
      </c>
      <c r="E447" s="98" t="s">
        <v>286</v>
      </c>
      <c r="F447" s="98">
        <v>20</v>
      </c>
      <c r="G447" s="100">
        <v>16.89</v>
      </c>
      <c r="H447" s="101">
        <f t="shared" si="7"/>
        <v>337.8</v>
      </c>
    </row>
    <row r="448" spans="1:8" ht="24.75" thickBot="1" x14ac:dyDescent="0.3">
      <c r="A448" s="97">
        <v>103</v>
      </c>
      <c r="B448" s="98" t="s">
        <v>241</v>
      </c>
      <c r="C448" s="98">
        <v>38115</v>
      </c>
      <c r="D448" s="99" t="s">
        <v>705</v>
      </c>
      <c r="E448" s="98" t="s">
        <v>286</v>
      </c>
      <c r="F448" s="98">
        <v>20</v>
      </c>
      <c r="G448" s="100">
        <v>18.04</v>
      </c>
      <c r="H448" s="101">
        <f t="shared" si="7"/>
        <v>360.79999999999995</v>
      </c>
    </row>
    <row r="449" spans="1:8" ht="48.75" thickBot="1" x14ac:dyDescent="0.3">
      <c r="A449" s="97">
        <v>104</v>
      </c>
      <c r="B449" s="98" t="s">
        <v>241</v>
      </c>
      <c r="C449" s="98">
        <v>38065</v>
      </c>
      <c r="D449" s="99" t="s">
        <v>706</v>
      </c>
      <c r="E449" s="98" t="s">
        <v>286</v>
      </c>
      <c r="F449" s="98">
        <v>20</v>
      </c>
      <c r="G449" s="100">
        <v>26.8</v>
      </c>
      <c r="H449" s="101">
        <f t="shared" si="7"/>
        <v>536</v>
      </c>
    </row>
    <row r="450" spans="1:8" ht="48.75" thickBot="1" x14ac:dyDescent="0.3">
      <c r="A450" s="97">
        <v>105</v>
      </c>
      <c r="B450" s="98" t="s">
        <v>241</v>
      </c>
      <c r="C450" s="98">
        <v>38078</v>
      </c>
      <c r="D450" s="99" t="s">
        <v>707</v>
      </c>
      <c r="E450" s="98" t="s">
        <v>286</v>
      </c>
      <c r="F450" s="98">
        <v>20</v>
      </c>
      <c r="G450" s="100">
        <v>15.63</v>
      </c>
      <c r="H450" s="101">
        <f t="shared" si="7"/>
        <v>312.60000000000002</v>
      </c>
    </row>
    <row r="451" spans="1:8" ht="24.75" thickBot="1" x14ac:dyDescent="0.3">
      <c r="A451" s="97">
        <v>106</v>
      </c>
      <c r="B451" s="98" t="s">
        <v>241</v>
      </c>
      <c r="C451" s="98">
        <v>38113</v>
      </c>
      <c r="D451" s="99" t="s">
        <v>708</v>
      </c>
      <c r="E451" s="98" t="s">
        <v>286</v>
      </c>
      <c r="F451" s="98">
        <v>20</v>
      </c>
      <c r="G451" s="100">
        <v>8.49</v>
      </c>
      <c r="H451" s="101">
        <f t="shared" si="7"/>
        <v>169.8</v>
      </c>
    </row>
    <row r="452" spans="1:8" ht="36.75" thickBot="1" x14ac:dyDescent="0.3">
      <c r="A452" s="97">
        <v>107</v>
      </c>
      <c r="B452" s="98" t="s">
        <v>241</v>
      </c>
      <c r="C452" s="98">
        <v>38063</v>
      </c>
      <c r="D452" s="99" t="s">
        <v>709</v>
      </c>
      <c r="E452" s="98" t="s">
        <v>286</v>
      </c>
      <c r="F452" s="98">
        <v>20</v>
      </c>
      <c r="G452" s="100">
        <v>9.11</v>
      </c>
      <c r="H452" s="101">
        <f t="shared" si="7"/>
        <v>182.2</v>
      </c>
    </row>
    <row r="453" spans="1:8" ht="48.75" thickBot="1" x14ac:dyDescent="0.3">
      <c r="A453" s="97">
        <v>108</v>
      </c>
      <c r="B453" s="98" t="s">
        <v>241</v>
      </c>
      <c r="C453" s="98">
        <v>38073</v>
      </c>
      <c r="D453" s="99" t="s">
        <v>710</v>
      </c>
      <c r="E453" s="98" t="s">
        <v>286</v>
      </c>
      <c r="F453" s="98">
        <v>20</v>
      </c>
      <c r="G453" s="100">
        <v>22.11</v>
      </c>
      <c r="H453" s="101">
        <f t="shared" si="7"/>
        <v>442.2</v>
      </c>
    </row>
    <row r="454" spans="1:8" ht="48.75" thickBot="1" x14ac:dyDescent="0.3">
      <c r="A454" s="97">
        <v>109</v>
      </c>
      <c r="B454" s="98" t="s">
        <v>241</v>
      </c>
      <c r="C454" s="98">
        <v>38080</v>
      </c>
      <c r="D454" s="99" t="s">
        <v>711</v>
      </c>
      <c r="E454" s="98" t="s">
        <v>286</v>
      </c>
      <c r="F454" s="98">
        <v>20</v>
      </c>
      <c r="G454" s="100">
        <v>27.15</v>
      </c>
      <c r="H454" s="101">
        <f t="shared" si="7"/>
        <v>543</v>
      </c>
    </row>
    <row r="455" spans="1:8" ht="48.75" thickBot="1" x14ac:dyDescent="0.3">
      <c r="A455" s="97">
        <v>110</v>
      </c>
      <c r="B455" s="98" t="s">
        <v>241</v>
      </c>
      <c r="C455" s="98">
        <v>38069</v>
      </c>
      <c r="D455" s="99" t="s">
        <v>712</v>
      </c>
      <c r="E455" s="98" t="s">
        <v>286</v>
      </c>
      <c r="F455" s="98">
        <v>20</v>
      </c>
      <c r="G455" s="100">
        <v>14.85</v>
      </c>
      <c r="H455" s="101">
        <f t="shared" si="7"/>
        <v>297</v>
      </c>
    </row>
    <row r="456" spans="1:8" ht="48.75" thickBot="1" x14ac:dyDescent="0.3">
      <c r="A456" s="97">
        <v>111</v>
      </c>
      <c r="B456" s="98" t="s">
        <v>241</v>
      </c>
      <c r="C456" s="98">
        <v>38077</v>
      </c>
      <c r="D456" s="99" t="s">
        <v>713</v>
      </c>
      <c r="E456" s="98" t="s">
        <v>286</v>
      </c>
      <c r="F456" s="98">
        <v>20</v>
      </c>
      <c r="G456" s="100">
        <v>14.51</v>
      </c>
      <c r="H456" s="101">
        <f t="shared" si="7"/>
        <v>290.2</v>
      </c>
    </row>
    <row r="457" spans="1:8" ht="24.75" thickBot="1" x14ac:dyDescent="0.3">
      <c r="A457" s="97">
        <v>112</v>
      </c>
      <c r="B457" s="98" t="s">
        <v>241</v>
      </c>
      <c r="C457" s="98">
        <v>38112</v>
      </c>
      <c r="D457" s="99" t="s">
        <v>714</v>
      </c>
      <c r="E457" s="98" t="s">
        <v>286</v>
      </c>
      <c r="F457" s="98">
        <v>20</v>
      </c>
      <c r="G457" s="100">
        <v>6.52</v>
      </c>
      <c r="H457" s="101">
        <f t="shared" si="7"/>
        <v>130.39999999999998</v>
      </c>
    </row>
    <row r="458" spans="1:8" ht="36.75" thickBot="1" x14ac:dyDescent="0.3">
      <c r="A458" s="97">
        <v>113</v>
      </c>
      <c r="B458" s="98" t="s">
        <v>241</v>
      </c>
      <c r="C458" s="98">
        <v>38062</v>
      </c>
      <c r="D458" s="99" t="s">
        <v>715</v>
      </c>
      <c r="E458" s="98" t="s">
        <v>286</v>
      </c>
      <c r="F458" s="98">
        <v>20</v>
      </c>
      <c r="G458" s="100">
        <v>6.69</v>
      </c>
      <c r="H458" s="101">
        <f t="shared" si="7"/>
        <v>133.80000000000001</v>
      </c>
    </row>
    <row r="459" spans="1:8" ht="36.75" thickBot="1" x14ac:dyDescent="0.3">
      <c r="A459" s="97">
        <v>114</v>
      </c>
      <c r="B459" s="98" t="s">
        <v>241</v>
      </c>
      <c r="C459" s="98">
        <v>12129</v>
      </c>
      <c r="D459" s="99" t="s">
        <v>716</v>
      </c>
      <c r="E459" s="98" t="s">
        <v>286</v>
      </c>
      <c r="F459" s="98">
        <v>20</v>
      </c>
      <c r="G459" s="100">
        <v>11.82</v>
      </c>
      <c r="H459" s="101">
        <f t="shared" si="7"/>
        <v>236.4</v>
      </c>
    </row>
    <row r="460" spans="1:8" ht="36.75" thickBot="1" x14ac:dyDescent="0.3">
      <c r="A460" s="97">
        <v>115</v>
      </c>
      <c r="B460" s="98" t="s">
        <v>241</v>
      </c>
      <c r="C460" s="98">
        <v>12128</v>
      </c>
      <c r="D460" s="99" t="s">
        <v>717</v>
      </c>
      <c r="E460" s="98" t="s">
        <v>286</v>
      </c>
      <c r="F460" s="98">
        <v>20</v>
      </c>
      <c r="G460" s="100">
        <v>8.9499999999999993</v>
      </c>
      <c r="H460" s="101">
        <f t="shared" si="7"/>
        <v>179</v>
      </c>
    </row>
    <row r="461" spans="1:8" ht="48.75" thickBot="1" x14ac:dyDescent="0.3">
      <c r="A461" s="97">
        <v>116</v>
      </c>
      <c r="B461" s="98" t="s">
        <v>241</v>
      </c>
      <c r="C461" s="98">
        <v>38081</v>
      </c>
      <c r="D461" s="99" t="s">
        <v>718</v>
      </c>
      <c r="E461" s="98" t="s">
        <v>286</v>
      </c>
      <c r="F461" s="98">
        <v>20</v>
      </c>
      <c r="G461" s="100">
        <v>23.03</v>
      </c>
      <c r="H461" s="101">
        <f t="shared" si="7"/>
        <v>460.6</v>
      </c>
    </row>
    <row r="462" spans="1:8" ht="48.75" thickBot="1" x14ac:dyDescent="0.3">
      <c r="A462" s="97">
        <v>117</v>
      </c>
      <c r="B462" s="98" t="s">
        <v>241</v>
      </c>
      <c r="C462" s="98">
        <v>38070</v>
      </c>
      <c r="D462" s="99" t="s">
        <v>719</v>
      </c>
      <c r="E462" s="98" t="s">
        <v>286</v>
      </c>
      <c r="F462" s="98">
        <v>20</v>
      </c>
      <c r="G462" s="100">
        <v>15.87</v>
      </c>
      <c r="H462" s="101">
        <f t="shared" si="7"/>
        <v>317.39999999999998</v>
      </c>
    </row>
    <row r="463" spans="1:8" ht="48.75" thickBot="1" x14ac:dyDescent="0.3">
      <c r="A463" s="97">
        <v>118</v>
      </c>
      <c r="B463" s="98" t="s">
        <v>241</v>
      </c>
      <c r="C463" s="98">
        <v>38074</v>
      </c>
      <c r="D463" s="99" t="s">
        <v>720</v>
      </c>
      <c r="E463" s="98" t="s">
        <v>286</v>
      </c>
      <c r="F463" s="98">
        <v>20</v>
      </c>
      <c r="G463" s="100">
        <v>24.13</v>
      </c>
      <c r="H463" s="101">
        <f t="shared" si="7"/>
        <v>482.59999999999997</v>
      </c>
    </row>
    <row r="464" spans="1:8" ht="48.75" thickBot="1" x14ac:dyDescent="0.3">
      <c r="A464" s="97">
        <v>119</v>
      </c>
      <c r="B464" s="98" t="s">
        <v>241</v>
      </c>
      <c r="C464" s="98">
        <v>38072</v>
      </c>
      <c r="D464" s="99" t="s">
        <v>721</v>
      </c>
      <c r="E464" s="98" t="s">
        <v>286</v>
      </c>
      <c r="F464" s="98">
        <v>20</v>
      </c>
      <c r="G464" s="100">
        <v>19.899999999999999</v>
      </c>
      <c r="H464" s="101">
        <f t="shared" si="7"/>
        <v>398</v>
      </c>
    </row>
    <row r="465" spans="1:8" ht="48.75" thickBot="1" x14ac:dyDescent="0.3">
      <c r="A465" s="97">
        <v>120</v>
      </c>
      <c r="B465" s="98" t="s">
        <v>241</v>
      </c>
      <c r="C465" s="98">
        <v>38079</v>
      </c>
      <c r="D465" s="99" t="s">
        <v>722</v>
      </c>
      <c r="E465" s="98" t="s">
        <v>286</v>
      </c>
      <c r="F465" s="98">
        <v>20</v>
      </c>
      <c r="G465" s="100">
        <v>20.71</v>
      </c>
      <c r="H465" s="101">
        <f t="shared" si="7"/>
        <v>414.20000000000005</v>
      </c>
    </row>
    <row r="466" spans="1:8" ht="48.75" thickBot="1" x14ac:dyDescent="0.3">
      <c r="A466" s="97">
        <v>121</v>
      </c>
      <c r="B466" s="98" t="s">
        <v>241</v>
      </c>
      <c r="C466" s="98">
        <v>38068</v>
      </c>
      <c r="D466" s="99" t="s">
        <v>723</v>
      </c>
      <c r="E466" s="98" t="s">
        <v>286</v>
      </c>
      <c r="F466" s="98">
        <v>20</v>
      </c>
      <c r="G466" s="100">
        <v>13.74</v>
      </c>
      <c r="H466" s="101">
        <f t="shared" si="7"/>
        <v>274.8</v>
      </c>
    </row>
    <row r="467" spans="1:8" ht="48.75" thickBot="1" x14ac:dyDescent="0.3">
      <c r="A467" s="97">
        <v>122</v>
      </c>
      <c r="B467" s="98" t="s">
        <v>241</v>
      </c>
      <c r="C467" s="98">
        <v>38071</v>
      </c>
      <c r="D467" s="99" t="s">
        <v>724</v>
      </c>
      <c r="E467" s="98" t="s">
        <v>286</v>
      </c>
      <c r="F467" s="98">
        <v>20</v>
      </c>
      <c r="G467" s="100">
        <v>16.43</v>
      </c>
      <c r="H467" s="101">
        <f t="shared" si="7"/>
        <v>328.6</v>
      </c>
    </row>
    <row r="468" spans="1:8" ht="36.75" thickBot="1" x14ac:dyDescent="0.3">
      <c r="A468" s="97">
        <v>123</v>
      </c>
      <c r="B468" s="98" t="s">
        <v>241</v>
      </c>
      <c r="C468" s="98">
        <v>38091</v>
      </c>
      <c r="D468" s="99" t="s">
        <v>725</v>
      </c>
      <c r="E468" s="98" t="s">
        <v>286</v>
      </c>
      <c r="F468" s="98">
        <v>20</v>
      </c>
      <c r="G468" s="100">
        <v>2.2999999999999998</v>
      </c>
      <c r="H468" s="101">
        <f t="shared" si="7"/>
        <v>46</v>
      </c>
    </row>
    <row r="469" spans="1:8" ht="36.75" thickBot="1" x14ac:dyDescent="0.3">
      <c r="A469" s="97">
        <v>124</v>
      </c>
      <c r="B469" s="98" t="s">
        <v>241</v>
      </c>
      <c r="C469" s="98">
        <v>38095</v>
      </c>
      <c r="D469" s="99" t="s">
        <v>726</v>
      </c>
      <c r="E469" s="98" t="s">
        <v>286</v>
      </c>
      <c r="F469" s="98">
        <v>20</v>
      </c>
      <c r="G469" s="100">
        <v>4.87</v>
      </c>
      <c r="H469" s="101">
        <f t="shared" si="7"/>
        <v>97.4</v>
      </c>
    </row>
    <row r="470" spans="1:8" ht="36.75" thickBot="1" x14ac:dyDescent="0.3">
      <c r="A470" s="97">
        <v>125</v>
      </c>
      <c r="B470" s="98" t="s">
        <v>241</v>
      </c>
      <c r="C470" s="98">
        <v>38092</v>
      </c>
      <c r="D470" s="99" t="s">
        <v>727</v>
      </c>
      <c r="E470" s="98" t="s">
        <v>286</v>
      </c>
      <c r="F470" s="98">
        <v>20</v>
      </c>
      <c r="G470" s="100">
        <v>2.1800000000000002</v>
      </c>
      <c r="H470" s="101">
        <f t="shared" si="7"/>
        <v>43.6</v>
      </c>
    </row>
    <row r="471" spans="1:8" ht="36.75" thickBot="1" x14ac:dyDescent="0.3">
      <c r="A471" s="97">
        <v>126</v>
      </c>
      <c r="B471" s="98" t="s">
        <v>241</v>
      </c>
      <c r="C471" s="98">
        <v>38093</v>
      </c>
      <c r="D471" s="99" t="s">
        <v>728</v>
      </c>
      <c r="E471" s="98" t="s">
        <v>286</v>
      </c>
      <c r="F471" s="98">
        <v>20</v>
      </c>
      <c r="G471" s="100">
        <v>2.25</v>
      </c>
      <c r="H471" s="101">
        <f t="shared" si="7"/>
        <v>45</v>
      </c>
    </row>
    <row r="472" spans="1:8" ht="36.75" thickBot="1" x14ac:dyDescent="0.3">
      <c r="A472" s="97">
        <v>127</v>
      </c>
      <c r="B472" s="98" t="s">
        <v>241</v>
      </c>
      <c r="C472" s="98">
        <v>38096</v>
      </c>
      <c r="D472" s="99" t="s">
        <v>729</v>
      </c>
      <c r="E472" s="98" t="s">
        <v>286</v>
      </c>
      <c r="F472" s="98">
        <v>20</v>
      </c>
      <c r="G472" s="100">
        <v>5.23</v>
      </c>
      <c r="H472" s="101">
        <f t="shared" si="7"/>
        <v>104.60000000000001</v>
      </c>
    </row>
    <row r="473" spans="1:8" ht="36.75" thickBot="1" x14ac:dyDescent="0.3">
      <c r="A473" s="97">
        <v>128</v>
      </c>
      <c r="B473" s="98" t="s">
        <v>241</v>
      </c>
      <c r="C473" s="98">
        <v>38094</v>
      </c>
      <c r="D473" s="99" t="s">
        <v>730</v>
      </c>
      <c r="E473" s="98" t="s">
        <v>286</v>
      </c>
      <c r="F473" s="98">
        <v>20</v>
      </c>
      <c r="G473" s="100">
        <v>2.76</v>
      </c>
      <c r="H473" s="101">
        <f t="shared" si="7"/>
        <v>55.199999999999996</v>
      </c>
    </row>
    <row r="474" spans="1:8" ht="36.75" thickBot="1" x14ac:dyDescent="0.3">
      <c r="A474" s="97">
        <v>129</v>
      </c>
      <c r="B474" s="98" t="s">
        <v>241</v>
      </c>
      <c r="C474" s="98">
        <v>38097</v>
      </c>
      <c r="D474" s="99" t="s">
        <v>731</v>
      </c>
      <c r="E474" s="98" t="s">
        <v>286</v>
      </c>
      <c r="F474" s="98">
        <v>20</v>
      </c>
      <c r="G474" s="100">
        <v>5.61</v>
      </c>
      <c r="H474" s="101">
        <f t="shared" si="7"/>
        <v>112.2</v>
      </c>
    </row>
    <row r="475" spans="1:8" ht="36.75" thickBot="1" x14ac:dyDescent="0.3">
      <c r="A475" s="97">
        <v>130</v>
      </c>
      <c r="B475" s="98" t="s">
        <v>241</v>
      </c>
      <c r="C475" s="98">
        <v>38098</v>
      </c>
      <c r="D475" s="99" t="s">
        <v>732</v>
      </c>
      <c r="E475" s="98" t="s">
        <v>286</v>
      </c>
      <c r="F475" s="98">
        <v>20</v>
      </c>
      <c r="G475" s="100">
        <v>5.61</v>
      </c>
      <c r="H475" s="101">
        <f t="shared" ref="H475:H507" si="8">F475*G475</f>
        <v>112.2</v>
      </c>
    </row>
    <row r="476" spans="1:8" ht="24.75" thickBot="1" x14ac:dyDescent="0.3">
      <c r="A476" s="97">
        <v>131</v>
      </c>
      <c r="B476" s="98" t="s">
        <v>241</v>
      </c>
      <c r="C476" s="98">
        <v>38124</v>
      </c>
      <c r="D476" s="99" t="s">
        <v>733</v>
      </c>
      <c r="E476" s="98" t="s">
        <v>286</v>
      </c>
      <c r="F476" s="98">
        <v>5</v>
      </c>
      <c r="G476" s="100">
        <v>29.9</v>
      </c>
      <c r="H476" s="101">
        <f t="shared" si="8"/>
        <v>149.5</v>
      </c>
    </row>
    <row r="477" spans="1:8" ht="24.75" thickBot="1" x14ac:dyDescent="0.3">
      <c r="A477" s="97">
        <v>132</v>
      </c>
      <c r="B477" s="98" t="s">
        <v>241</v>
      </c>
      <c r="C477" s="98">
        <v>38194</v>
      </c>
      <c r="D477" s="99" t="s">
        <v>734</v>
      </c>
      <c r="E477" s="98" t="s">
        <v>286</v>
      </c>
      <c r="F477" s="98">
        <v>100</v>
      </c>
      <c r="G477" s="100">
        <v>3.99</v>
      </c>
      <c r="H477" s="101">
        <f t="shared" si="8"/>
        <v>399</v>
      </c>
    </row>
    <row r="478" spans="1:8" ht="24.75" thickBot="1" x14ac:dyDescent="0.3">
      <c r="A478" s="97">
        <v>133</v>
      </c>
      <c r="B478" s="98" t="s">
        <v>241</v>
      </c>
      <c r="C478" s="98">
        <v>39388</v>
      </c>
      <c r="D478" s="99" t="s">
        <v>735</v>
      </c>
      <c r="E478" s="98" t="s">
        <v>286</v>
      </c>
      <c r="F478" s="98">
        <v>20</v>
      </c>
      <c r="G478" s="100">
        <v>4.9000000000000004</v>
      </c>
      <c r="H478" s="101">
        <f t="shared" si="8"/>
        <v>98</v>
      </c>
    </row>
    <row r="479" spans="1:8" ht="24.75" thickBot="1" x14ac:dyDescent="0.3">
      <c r="A479" s="97">
        <v>134</v>
      </c>
      <c r="B479" s="98" t="s">
        <v>241</v>
      </c>
      <c r="C479" s="98">
        <v>39387</v>
      </c>
      <c r="D479" s="99" t="s">
        <v>736</v>
      </c>
      <c r="E479" s="98" t="s">
        <v>286</v>
      </c>
      <c r="F479" s="98">
        <v>300</v>
      </c>
      <c r="G479" s="100">
        <v>7.65</v>
      </c>
      <c r="H479" s="101">
        <f t="shared" si="8"/>
        <v>2295</v>
      </c>
    </row>
    <row r="480" spans="1:8" ht="24.75" thickBot="1" x14ac:dyDescent="0.3">
      <c r="A480" s="97">
        <v>135</v>
      </c>
      <c r="B480" s="98" t="s">
        <v>241</v>
      </c>
      <c r="C480" s="98">
        <v>39386</v>
      </c>
      <c r="D480" s="99" t="s">
        <v>737</v>
      </c>
      <c r="E480" s="98" t="s">
        <v>286</v>
      </c>
      <c r="F480" s="98">
        <v>300</v>
      </c>
      <c r="G480" s="100">
        <v>5.33</v>
      </c>
      <c r="H480" s="101">
        <f t="shared" si="8"/>
        <v>1599</v>
      </c>
    </row>
    <row r="481" spans="1:8" ht="24.75" thickBot="1" x14ac:dyDescent="0.3">
      <c r="A481" s="97">
        <v>136</v>
      </c>
      <c r="B481" s="98" t="s">
        <v>241</v>
      </c>
      <c r="C481" s="98">
        <v>3798</v>
      </c>
      <c r="D481" s="99" t="s">
        <v>738</v>
      </c>
      <c r="E481" s="98" t="s">
        <v>286</v>
      </c>
      <c r="F481" s="98">
        <v>5</v>
      </c>
      <c r="G481" s="100">
        <v>92.1</v>
      </c>
      <c r="H481" s="101">
        <f t="shared" si="8"/>
        <v>460.5</v>
      </c>
    </row>
    <row r="482" spans="1:8" ht="48.75" thickBot="1" x14ac:dyDescent="0.3">
      <c r="A482" s="97">
        <v>137</v>
      </c>
      <c r="B482" s="98" t="s">
        <v>241</v>
      </c>
      <c r="C482" s="98">
        <v>38769</v>
      </c>
      <c r="D482" s="99" t="s">
        <v>739</v>
      </c>
      <c r="E482" s="98" t="s">
        <v>286</v>
      </c>
      <c r="F482" s="98">
        <v>5</v>
      </c>
      <c r="G482" s="100">
        <v>71.930000000000007</v>
      </c>
      <c r="H482" s="101">
        <f t="shared" si="8"/>
        <v>359.65000000000003</v>
      </c>
    </row>
    <row r="483" spans="1:8" ht="36.75" thickBot="1" x14ac:dyDescent="0.3">
      <c r="A483" s="97">
        <v>138</v>
      </c>
      <c r="B483" s="98" t="s">
        <v>241</v>
      </c>
      <c r="C483" s="98">
        <v>38774</v>
      </c>
      <c r="D483" s="99" t="s">
        <v>740</v>
      </c>
      <c r="E483" s="98" t="s">
        <v>286</v>
      </c>
      <c r="F483" s="98">
        <v>15</v>
      </c>
      <c r="G483" s="100">
        <v>10.02</v>
      </c>
      <c r="H483" s="101">
        <f t="shared" si="8"/>
        <v>150.29999999999998</v>
      </c>
    </row>
    <row r="484" spans="1:8" ht="36.75" thickBot="1" x14ac:dyDescent="0.3">
      <c r="A484" s="97">
        <v>139</v>
      </c>
      <c r="B484" s="98" t="s">
        <v>241</v>
      </c>
      <c r="C484" s="98">
        <v>38773</v>
      </c>
      <c r="D484" s="99" t="s">
        <v>741</v>
      </c>
      <c r="E484" s="98" t="s">
        <v>286</v>
      </c>
      <c r="F484" s="98">
        <v>20</v>
      </c>
      <c r="G484" s="100">
        <v>7.23</v>
      </c>
      <c r="H484" s="101">
        <f t="shared" si="8"/>
        <v>144.60000000000002</v>
      </c>
    </row>
    <row r="485" spans="1:8" ht="24.75" thickBot="1" x14ac:dyDescent="0.3">
      <c r="A485" s="97">
        <v>140</v>
      </c>
      <c r="B485" s="98" t="s">
        <v>241</v>
      </c>
      <c r="C485" s="98">
        <v>39389</v>
      </c>
      <c r="D485" s="99" t="s">
        <v>742</v>
      </c>
      <c r="E485" s="98" t="s">
        <v>286</v>
      </c>
      <c r="F485" s="98">
        <v>15</v>
      </c>
      <c r="G485" s="100">
        <v>9.94</v>
      </c>
      <c r="H485" s="101">
        <f t="shared" si="8"/>
        <v>149.1</v>
      </c>
    </row>
    <row r="486" spans="1:8" ht="24.75" thickBot="1" x14ac:dyDescent="0.3">
      <c r="A486" s="97">
        <v>141</v>
      </c>
      <c r="B486" s="98" t="s">
        <v>241</v>
      </c>
      <c r="C486" s="98">
        <v>39390</v>
      </c>
      <c r="D486" s="99" t="s">
        <v>743</v>
      </c>
      <c r="E486" s="98" t="s">
        <v>286</v>
      </c>
      <c r="F486" s="98">
        <v>15</v>
      </c>
      <c r="G486" s="100">
        <v>20.85</v>
      </c>
      <c r="H486" s="101">
        <f t="shared" si="8"/>
        <v>312.75</v>
      </c>
    </row>
    <row r="487" spans="1:8" ht="24.75" thickBot="1" x14ac:dyDescent="0.3">
      <c r="A487" s="97">
        <v>142</v>
      </c>
      <c r="B487" s="98" t="s">
        <v>241</v>
      </c>
      <c r="C487" s="98">
        <v>39391</v>
      </c>
      <c r="D487" s="99" t="s">
        <v>744</v>
      </c>
      <c r="E487" s="98" t="s">
        <v>286</v>
      </c>
      <c r="F487" s="98">
        <v>20</v>
      </c>
      <c r="G487" s="100">
        <v>23.41</v>
      </c>
      <c r="H487" s="101">
        <f t="shared" si="8"/>
        <v>468.2</v>
      </c>
    </row>
    <row r="488" spans="1:8" ht="48.75" thickBot="1" x14ac:dyDescent="0.3">
      <c r="A488" s="97">
        <v>143</v>
      </c>
      <c r="B488" s="98" t="s">
        <v>241</v>
      </c>
      <c r="C488" s="98">
        <v>3803</v>
      </c>
      <c r="D488" s="99" t="s">
        <v>745</v>
      </c>
      <c r="E488" s="98" t="s">
        <v>286</v>
      </c>
      <c r="F488" s="98">
        <v>7</v>
      </c>
      <c r="G488" s="100">
        <v>68.2</v>
      </c>
      <c r="H488" s="101">
        <f t="shared" si="8"/>
        <v>477.40000000000003</v>
      </c>
    </row>
    <row r="489" spans="1:8" ht="60.75" thickBot="1" x14ac:dyDescent="0.3">
      <c r="A489" s="97">
        <v>144</v>
      </c>
      <c r="B489" s="98" t="s">
        <v>241</v>
      </c>
      <c r="C489" s="98">
        <v>38770</v>
      </c>
      <c r="D489" s="99" t="s">
        <v>746</v>
      </c>
      <c r="E489" s="98" t="s">
        <v>286</v>
      </c>
      <c r="F489" s="98">
        <v>7</v>
      </c>
      <c r="G489" s="100">
        <v>78.97</v>
      </c>
      <c r="H489" s="101">
        <f t="shared" si="8"/>
        <v>552.79</v>
      </c>
    </row>
    <row r="490" spans="1:8" ht="48.75" thickBot="1" x14ac:dyDescent="0.3">
      <c r="A490" s="97">
        <v>145</v>
      </c>
      <c r="B490" s="98" t="s">
        <v>241</v>
      </c>
      <c r="C490" s="98">
        <v>12266</v>
      </c>
      <c r="D490" s="99" t="s">
        <v>747</v>
      </c>
      <c r="E490" s="98" t="s">
        <v>286</v>
      </c>
      <c r="F490" s="98">
        <v>5</v>
      </c>
      <c r="G490" s="100">
        <v>118.45</v>
      </c>
      <c r="H490" s="101">
        <f t="shared" si="8"/>
        <v>592.25</v>
      </c>
    </row>
    <row r="491" spans="1:8" ht="48.75" thickBot="1" x14ac:dyDescent="0.3">
      <c r="A491" s="97">
        <v>146</v>
      </c>
      <c r="B491" s="98" t="s">
        <v>241</v>
      </c>
      <c r="C491" s="98">
        <v>39378</v>
      </c>
      <c r="D491" s="99" t="s">
        <v>748</v>
      </c>
      <c r="E491" s="98" t="s">
        <v>286</v>
      </c>
      <c r="F491" s="98">
        <v>5</v>
      </c>
      <c r="G491" s="100">
        <v>83.98</v>
      </c>
      <c r="H491" s="101">
        <f t="shared" si="8"/>
        <v>419.90000000000003</v>
      </c>
    </row>
    <row r="492" spans="1:8" ht="48.75" thickBot="1" x14ac:dyDescent="0.3">
      <c r="A492" s="97">
        <v>147</v>
      </c>
      <c r="B492" s="98" t="s">
        <v>241</v>
      </c>
      <c r="C492" s="98">
        <v>38775</v>
      </c>
      <c r="D492" s="99" t="s">
        <v>749</v>
      </c>
      <c r="E492" s="98" t="s">
        <v>286</v>
      </c>
      <c r="F492" s="98">
        <v>5</v>
      </c>
      <c r="G492" s="100">
        <v>89.03</v>
      </c>
      <c r="H492" s="101">
        <f t="shared" si="8"/>
        <v>445.15</v>
      </c>
    </row>
    <row r="493" spans="1:8" ht="24.75" thickBot="1" x14ac:dyDescent="0.3">
      <c r="A493" s="97">
        <v>148</v>
      </c>
      <c r="B493" s="98" t="s">
        <v>241</v>
      </c>
      <c r="C493" s="98">
        <v>1893</v>
      </c>
      <c r="D493" s="99" t="s">
        <v>750</v>
      </c>
      <c r="E493" s="98" t="s">
        <v>286</v>
      </c>
      <c r="F493" s="98">
        <v>50</v>
      </c>
      <c r="G493" s="100">
        <v>4.12</v>
      </c>
      <c r="H493" s="101">
        <f t="shared" si="8"/>
        <v>206</v>
      </c>
    </row>
    <row r="494" spans="1:8" ht="24.75" thickBot="1" x14ac:dyDescent="0.3">
      <c r="A494" s="97">
        <v>149</v>
      </c>
      <c r="B494" s="98" t="s">
        <v>241</v>
      </c>
      <c r="C494" s="98">
        <v>1902</v>
      </c>
      <c r="D494" s="99" t="s">
        <v>751</v>
      </c>
      <c r="E494" s="98" t="s">
        <v>286</v>
      </c>
      <c r="F494" s="98">
        <v>50</v>
      </c>
      <c r="G494" s="100">
        <v>3</v>
      </c>
      <c r="H494" s="101">
        <f t="shared" si="8"/>
        <v>150</v>
      </c>
    </row>
    <row r="495" spans="1:8" ht="24.75" thickBot="1" x14ac:dyDescent="0.3">
      <c r="A495" s="97">
        <v>150</v>
      </c>
      <c r="B495" s="98" t="s">
        <v>241</v>
      </c>
      <c r="C495" s="98">
        <v>1891</v>
      </c>
      <c r="D495" s="99" t="s">
        <v>752</v>
      </c>
      <c r="E495" s="98" t="s">
        <v>286</v>
      </c>
      <c r="F495" s="98">
        <v>50</v>
      </c>
      <c r="G495" s="100">
        <v>1.38</v>
      </c>
      <c r="H495" s="101">
        <f t="shared" si="8"/>
        <v>69</v>
      </c>
    </row>
    <row r="496" spans="1:8" ht="24.75" thickBot="1" x14ac:dyDescent="0.3">
      <c r="A496" s="97">
        <v>151</v>
      </c>
      <c r="B496" s="98" t="s">
        <v>241</v>
      </c>
      <c r="C496" s="98">
        <v>1892</v>
      </c>
      <c r="D496" s="99" t="s">
        <v>753</v>
      </c>
      <c r="E496" s="98" t="s">
        <v>286</v>
      </c>
      <c r="F496" s="98">
        <v>50</v>
      </c>
      <c r="G496" s="100">
        <v>1.93</v>
      </c>
      <c r="H496" s="101">
        <f t="shared" si="8"/>
        <v>96.5</v>
      </c>
    </row>
    <row r="497" spans="1:8" ht="24.75" thickBot="1" x14ac:dyDescent="0.3">
      <c r="A497" s="97">
        <v>152</v>
      </c>
      <c r="B497" s="98" t="s">
        <v>241</v>
      </c>
      <c r="C497" s="98">
        <v>1894</v>
      </c>
      <c r="D497" s="99" t="s">
        <v>754</v>
      </c>
      <c r="E497" s="98" t="s">
        <v>286</v>
      </c>
      <c r="F497" s="98">
        <v>50</v>
      </c>
      <c r="G497" s="100">
        <v>5.97</v>
      </c>
      <c r="H497" s="101">
        <f t="shared" si="8"/>
        <v>298.5</v>
      </c>
    </row>
    <row r="498" spans="1:8" ht="60.75" thickBot="1" x14ac:dyDescent="0.3">
      <c r="A498" s="97">
        <v>153</v>
      </c>
      <c r="B498" s="98" t="s">
        <v>241</v>
      </c>
      <c r="C498" s="98">
        <v>13395</v>
      </c>
      <c r="D498" s="99" t="s">
        <v>755</v>
      </c>
      <c r="E498" s="98" t="s">
        <v>286</v>
      </c>
      <c r="F498" s="98">
        <v>1</v>
      </c>
      <c r="G498" s="100">
        <v>631.47</v>
      </c>
      <c r="H498" s="101">
        <f t="shared" si="8"/>
        <v>631.47</v>
      </c>
    </row>
    <row r="499" spans="1:8" ht="48.75" thickBot="1" x14ac:dyDescent="0.3">
      <c r="A499" s="97">
        <v>154</v>
      </c>
      <c r="B499" s="98" t="s">
        <v>241</v>
      </c>
      <c r="C499" s="98">
        <v>12039</v>
      </c>
      <c r="D499" s="99" t="s">
        <v>756</v>
      </c>
      <c r="E499" s="98" t="s">
        <v>286</v>
      </c>
      <c r="F499" s="98">
        <v>1</v>
      </c>
      <c r="G499" s="100">
        <v>663.61</v>
      </c>
      <c r="H499" s="101">
        <f t="shared" si="8"/>
        <v>663.61</v>
      </c>
    </row>
    <row r="500" spans="1:8" ht="48.75" thickBot="1" x14ac:dyDescent="0.3">
      <c r="A500" s="97">
        <v>155</v>
      </c>
      <c r="B500" s="98" t="s">
        <v>241</v>
      </c>
      <c r="C500" s="98">
        <v>13396</v>
      </c>
      <c r="D500" s="99" t="s">
        <v>757</v>
      </c>
      <c r="E500" s="98" t="s">
        <v>286</v>
      </c>
      <c r="F500" s="98">
        <v>1</v>
      </c>
      <c r="G500" s="100">
        <v>932</v>
      </c>
      <c r="H500" s="101">
        <f t="shared" si="8"/>
        <v>932</v>
      </c>
    </row>
    <row r="501" spans="1:8" ht="48.75" thickBot="1" x14ac:dyDescent="0.3">
      <c r="A501" s="97">
        <v>156</v>
      </c>
      <c r="B501" s="98" t="s">
        <v>241</v>
      </c>
      <c r="C501" s="98">
        <v>39805</v>
      </c>
      <c r="D501" s="99" t="s">
        <v>758</v>
      </c>
      <c r="E501" s="98" t="s">
        <v>286</v>
      </c>
      <c r="F501" s="98">
        <v>1</v>
      </c>
      <c r="G501" s="100">
        <v>167.58</v>
      </c>
      <c r="H501" s="101">
        <f t="shared" si="8"/>
        <v>167.58</v>
      </c>
    </row>
    <row r="502" spans="1:8" ht="48.75" thickBot="1" x14ac:dyDescent="0.3">
      <c r="A502" s="97">
        <v>157</v>
      </c>
      <c r="B502" s="98" t="s">
        <v>241</v>
      </c>
      <c r="C502" s="98">
        <v>39806</v>
      </c>
      <c r="D502" s="99" t="s">
        <v>759</v>
      </c>
      <c r="E502" s="98" t="s">
        <v>286</v>
      </c>
      <c r="F502" s="98">
        <v>1</v>
      </c>
      <c r="G502" s="100">
        <v>310.47000000000003</v>
      </c>
      <c r="H502" s="101">
        <f t="shared" si="8"/>
        <v>310.47000000000003</v>
      </c>
    </row>
    <row r="503" spans="1:8" ht="48.75" thickBot="1" x14ac:dyDescent="0.3">
      <c r="A503" s="97">
        <v>158</v>
      </c>
      <c r="B503" s="98" t="s">
        <v>241</v>
      </c>
      <c r="C503" s="98">
        <v>39807</v>
      </c>
      <c r="D503" s="99" t="s">
        <v>760</v>
      </c>
      <c r="E503" s="98" t="s">
        <v>286</v>
      </c>
      <c r="F503" s="98">
        <v>1</v>
      </c>
      <c r="G503" s="100">
        <v>672.87</v>
      </c>
      <c r="H503" s="101">
        <f t="shared" si="8"/>
        <v>672.87</v>
      </c>
    </row>
    <row r="504" spans="1:8" ht="36.75" thickBot="1" x14ac:dyDescent="0.3">
      <c r="A504" s="97">
        <v>159</v>
      </c>
      <c r="B504" s="98" t="s">
        <v>241</v>
      </c>
      <c r="C504" s="98">
        <v>43100</v>
      </c>
      <c r="D504" s="99" t="s">
        <v>761</v>
      </c>
      <c r="E504" s="98" t="s">
        <v>286</v>
      </c>
      <c r="F504" s="98">
        <v>1</v>
      </c>
      <c r="G504" s="100">
        <v>526.04</v>
      </c>
      <c r="H504" s="101">
        <f t="shared" si="8"/>
        <v>526.04</v>
      </c>
    </row>
    <row r="505" spans="1:8" ht="36.75" thickBot="1" x14ac:dyDescent="0.3">
      <c r="A505" s="97">
        <v>160</v>
      </c>
      <c r="B505" s="98" t="s">
        <v>241</v>
      </c>
      <c r="C505" s="98">
        <v>7528</v>
      </c>
      <c r="D505" s="99" t="s">
        <v>762</v>
      </c>
      <c r="E505" s="98" t="s">
        <v>286</v>
      </c>
      <c r="F505" s="98">
        <v>50</v>
      </c>
      <c r="G505" s="100">
        <v>8.7200000000000006</v>
      </c>
      <c r="H505" s="101">
        <f t="shared" si="8"/>
        <v>436.00000000000006</v>
      </c>
    </row>
    <row r="506" spans="1:8" ht="36.75" thickBot="1" x14ac:dyDescent="0.3">
      <c r="A506" s="97">
        <v>161</v>
      </c>
      <c r="B506" s="98" t="s">
        <v>241</v>
      </c>
      <c r="C506" s="98">
        <v>12147</v>
      </c>
      <c r="D506" s="99" t="s">
        <v>763</v>
      </c>
      <c r="E506" s="98" t="s">
        <v>286</v>
      </c>
      <c r="F506" s="98">
        <v>50</v>
      </c>
      <c r="G506" s="100">
        <v>13.29</v>
      </c>
      <c r="H506" s="101">
        <f t="shared" si="8"/>
        <v>664.5</v>
      </c>
    </row>
    <row r="507" spans="1:8" ht="36.75" thickBot="1" x14ac:dyDescent="0.3">
      <c r="A507" s="97">
        <v>162</v>
      </c>
      <c r="B507" s="98" t="s">
        <v>241</v>
      </c>
      <c r="C507" s="98">
        <v>38075</v>
      </c>
      <c r="D507" s="99" t="s">
        <v>764</v>
      </c>
      <c r="E507" s="98" t="s">
        <v>286</v>
      </c>
      <c r="F507" s="98">
        <v>50</v>
      </c>
      <c r="G507" s="100">
        <v>15.1</v>
      </c>
      <c r="H507" s="101">
        <f t="shared" si="8"/>
        <v>755</v>
      </c>
    </row>
    <row r="508" spans="1:8" ht="15.75" thickBot="1" x14ac:dyDescent="0.3">
      <c r="A508" s="290" t="s">
        <v>765</v>
      </c>
      <c r="B508" s="291"/>
      <c r="C508" s="291"/>
      <c r="D508" s="291"/>
      <c r="E508" s="291"/>
      <c r="F508" s="291"/>
      <c r="G508" s="292"/>
      <c r="H508" s="104">
        <f>SUM(H346:H507)</f>
        <v>85973.13999999997</v>
      </c>
    </row>
    <row r="509" spans="1:8" ht="15.75" thickBot="1" x14ac:dyDescent="0.3"/>
    <row r="510" spans="1:8" ht="15.75" thickBot="1" x14ac:dyDescent="0.3">
      <c r="A510" s="293" t="s">
        <v>766</v>
      </c>
      <c r="B510" s="294"/>
      <c r="C510" s="294"/>
      <c r="D510" s="294"/>
      <c r="E510" s="294"/>
      <c r="F510" s="294"/>
      <c r="G510" s="294"/>
      <c r="H510" s="295"/>
    </row>
    <row r="511" spans="1:8" ht="24.75" thickBot="1" x14ac:dyDescent="0.3">
      <c r="A511" s="96" t="s">
        <v>233</v>
      </c>
      <c r="B511" s="96" t="s">
        <v>234</v>
      </c>
      <c r="C511" s="96" t="s">
        <v>767</v>
      </c>
      <c r="D511" s="96" t="s">
        <v>236</v>
      </c>
      <c r="E511" s="96" t="s">
        <v>237</v>
      </c>
      <c r="F511" s="96" t="s">
        <v>167</v>
      </c>
      <c r="G511" s="96" t="s">
        <v>239</v>
      </c>
      <c r="H511" s="96" t="s">
        <v>240</v>
      </c>
    </row>
    <row r="512" spans="1:8" ht="24.75" thickBot="1" x14ac:dyDescent="0.3">
      <c r="A512" s="97">
        <v>1</v>
      </c>
      <c r="B512" s="98" t="s">
        <v>241</v>
      </c>
      <c r="C512" s="98">
        <v>1</v>
      </c>
      <c r="D512" s="99" t="s">
        <v>768</v>
      </c>
      <c r="E512" s="98" t="s">
        <v>303</v>
      </c>
      <c r="F512" s="98">
        <v>5</v>
      </c>
      <c r="G512" s="100">
        <v>130</v>
      </c>
      <c r="H512" s="101">
        <f>F512*G512</f>
        <v>650</v>
      </c>
    </row>
    <row r="513" spans="1:8" ht="24.75" thickBot="1" x14ac:dyDescent="0.3">
      <c r="A513" s="97">
        <v>2</v>
      </c>
      <c r="B513" s="98" t="s">
        <v>241</v>
      </c>
      <c r="C513" s="98">
        <v>119</v>
      </c>
      <c r="D513" s="99" t="s">
        <v>471</v>
      </c>
      <c r="E513" s="98" t="s">
        <v>286</v>
      </c>
      <c r="F513" s="98">
        <v>7</v>
      </c>
      <c r="G513" s="100">
        <v>10</v>
      </c>
      <c r="H513" s="101">
        <f t="shared" ref="H513:H576" si="9">F513*G513</f>
        <v>70</v>
      </c>
    </row>
    <row r="514" spans="1:8" ht="24.75" thickBot="1" x14ac:dyDescent="0.3">
      <c r="A514" s="97">
        <v>3</v>
      </c>
      <c r="B514" s="98" t="s">
        <v>241</v>
      </c>
      <c r="C514" s="98">
        <v>20080</v>
      </c>
      <c r="D514" s="99" t="s">
        <v>472</v>
      </c>
      <c r="E514" s="98" t="s">
        <v>286</v>
      </c>
      <c r="F514" s="98">
        <v>7</v>
      </c>
      <c r="G514" s="100">
        <v>25.11</v>
      </c>
      <c r="H514" s="101">
        <f t="shared" si="9"/>
        <v>175.76999999999998</v>
      </c>
    </row>
    <row r="515" spans="1:8" ht="60.75" thickBot="1" x14ac:dyDescent="0.3">
      <c r="A515" s="97">
        <v>4</v>
      </c>
      <c r="B515" s="98" t="s">
        <v>241</v>
      </c>
      <c r="C515" s="98">
        <v>11267</v>
      </c>
      <c r="D515" s="99" t="s">
        <v>769</v>
      </c>
      <c r="E515" s="98" t="s">
        <v>286</v>
      </c>
      <c r="F515" s="98">
        <v>100</v>
      </c>
      <c r="G515" s="100">
        <v>1.43</v>
      </c>
      <c r="H515" s="101">
        <f t="shared" si="9"/>
        <v>143</v>
      </c>
    </row>
    <row r="516" spans="1:8" ht="24.75" thickBot="1" x14ac:dyDescent="0.3">
      <c r="A516" s="97">
        <v>6</v>
      </c>
      <c r="B516" s="98" t="s">
        <v>241</v>
      </c>
      <c r="C516" s="98">
        <v>39208</v>
      </c>
      <c r="D516" s="99" t="s">
        <v>770</v>
      </c>
      <c r="E516" s="98" t="s">
        <v>286</v>
      </c>
      <c r="F516" s="98">
        <v>200</v>
      </c>
      <c r="G516" s="100">
        <v>0.49</v>
      </c>
      <c r="H516" s="101">
        <f t="shared" si="9"/>
        <v>98</v>
      </c>
    </row>
    <row r="517" spans="1:8" ht="24.75" thickBot="1" x14ac:dyDescent="0.3">
      <c r="A517" s="97">
        <v>7</v>
      </c>
      <c r="B517" s="98" t="s">
        <v>771</v>
      </c>
      <c r="C517" s="98">
        <v>7551</v>
      </c>
      <c r="D517" s="99" t="s">
        <v>772</v>
      </c>
      <c r="E517" s="98" t="s">
        <v>620</v>
      </c>
      <c r="F517" s="98">
        <v>10</v>
      </c>
      <c r="G517" s="100">
        <v>14.24</v>
      </c>
      <c r="H517" s="101">
        <f t="shared" si="9"/>
        <v>142.4</v>
      </c>
    </row>
    <row r="518" spans="1:8" ht="24.75" thickBot="1" x14ac:dyDescent="0.3">
      <c r="A518" s="97">
        <v>8</v>
      </c>
      <c r="B518" s="98" t="s">
        <v>771</v>
      </c>
      <c r="C518" s="98">
        <v>9783</v>
      </c>
      <c r="D518" s="99" t="s">
        <v>773</v>
      </c>
      <c r="E518" s="98" t="s">
        <v>620</v>
      </c>
      <c r="F518" s="98">
        <v>10</v>
      </c>
      <c r="G518" s="100">
        <v>7.7</v>
      </c>
      <c r="H518" s="101">
        <f t="shared" si="9"/>
        <v>77</v>
      </c>
    </row>
    <row r="519" spans="1:8" ht="24.75" thickBot="1" x14ac:dyDescent="0.3">
      <c r="A519" s="97">
        <v>9</v>
      </c>
      <c r="B519" s="98" t="s">
        <v>771</v>
      </c>
      <c r="C519" s="98">
        <v>10738</v>
      </c>
      <c r="D519" s="99" t="s">
        <v>774</v>
      </c>
      <c r="E519" s="98" t="s">
        <v>620</v>
      </c>
      <c r="F519" s="98">
        <v>10</v>
      </c>
      <c r="G519" s="100">
        <v>10.5</v>
      </c>
      <c r="H519" s="101">
        <f t="shared" si="9"/>
        <v>105</v>
      </c>
    </row>
    <row r="520" spans="1:8" ht="48.75" thickBot="1" x14ac:dyDescent="0.3">
      <c r="A520" s="97">
        <v>11</v>
      </c>
      <c r="B520" s="98" t="s">
        <v>241</v>
      </c>
      <c r="C520" s="98">
        <v>11950</v>
      </c>
      <c r="D520" s="99" t="s">
        <v>292</v>
      </c>
      <c r="E520" s="98" t="s">
        <v>286</v>
      </c>
      <c r="F520" s="98">
        <v>200</v>
      </c>
      <c r="G520" s="100">
        <v>0.24</v>
      </c>
      <c r="H520" s="101">
        <f t="shared" si="9"/>
        <v>48</v>
      </c>
    </row>
    <row r="521" spans="1:8" ht="36.75" thickBot="1" x14ac:dyDescent="0.3">
      <c r="A521" s="97">
        <v>12</v>
      </c>
      <c r="B521" s="98" t="s">
        <v>241</v>
      </c>
      <c r="C521" s="98">
        <v>574</v>
      </c>
      <c r="D521" s="99" t="s">
        <v>775</v>
      </c>
      <c r="E521" s="98" t="s">
        <v>620</v>
      </c>
      <c r="F521" s="98">
        <v>10</v>
      </c>
      <c r="G521" s="100">
        <v>29.94</v>
      </c>
      <c r="H521" s="101">
        <f t="shared" si="9"/>
        <v>299.40000000000003</v>
      </c>
    </row>
    <row r="522" spans="1:8" ht="15.75" thickBot="1" x14ac:dyDescent="0.3">
      <c r="A522" s="97">
        <v>13</v>
      </c>
      <c r="B522" s="98" t="s">
        <v>776</v>
      </c>
      <c r="C522" s="98" t="s">
        <v>777</v>
      </c>
      <c r="D522" s="99" t="s">
        <v>778</v>
      </c>
      <c r="E522" s="98" t="s">
        <v>286</v>
      </c>
      <c r="F522" s="98">
        <v>10</v>
      </c>
      <c r="G522" s="100">
        <v>40.1</v>
      </c>
      <c r="H522" s="101">
        <f t="shared" si="9"/>
        <v>401</v>
      </c>
    </row>
    <row r="523" spans="1:8" ht="15.75" thickBot="1" x14ac:dyDescent="0.3">
      <c r="A523" s="97">
        <v>14</v>
      </c>
      <c r="B523" s="98" t="s">
        <v>776</v>
      </c>
      <c r="C523" s="98" t="s">
        <v>779</v>
      </c>
      <c r="D523" s="99" t="s">
        <v>780</v>
      </c>
      <c r="E523" s="98" t="s">
        <v>286</v>
      </c>
      <c r="F523" s="98">
        <v>10</v>
      </c>
      <c r="G523" s="100">
        <v>40.1</v>
      </c>
      <c r="H523" s="101">
        <f t="shared" si="9"/>
        <v>401</v>
      </c>
    </row>
    <row r="524" spans="1:8" ht="15.75" thickBot="1" x14ac:dyDescent="0.3">
      <c r="A524" s="97">
        <v>15</v>
      </c>
      <c r="B524" s="98" t="s">
        <v>781</v>
      </c>
      <c r="C524" s="98" t="s">
        <v>782</v>
      </c>
      <c r="D524" s="99" t="s">
        <v>783</v>
      </c>
      <c r="E524" s="98" t="s">
        <v>286</v>
      </c>
      <c r="F524" s="98">
        <v>1</v>
      </c>
      <c r="G524" s="100">
        <v>230.51</v>
      </c>
      <c r="H524" s="101">
        <f t="shared" si="9"/>
        <v>230.51</v>
      </c>
    </row>
    <row r="525" spans="1:8" ht="48.75" thickBot="1" x14ac:dyDescent="0.3">
      <c r="A525" s="97">
        <v>16</v>
      </c>
      <c r="B525" s="98" t="s">
        <v>781</v>
      </c>
      <c r="C525" s="98" t="s">
        <v>784</v>
      </c>
      <c r="D525" s="99" t="s">
        <v>785</v>
      </c>
      <c r="E525" s="98" t="s">
        <v>286</v>
      </c>
      <c r="F525" s="98">
        <v>1</v>
      </c>
      <c r="G525" s="100">
        <v>136.34</v>
      </c>
      <c r="H525" s="101">
        <f t="shared" si="9"/>
        <v>136.34</v>
      </c>
    </row>
    <row r="526" spans="1:8" ht="24.75" thickBot="1" x14ac:dyDescent="0.3">
      <c r="A526" s="97">
        <v>17</v>
      </c>
      <c r="B526" s="98" t="s">
        <v>241</v>
      </c>
      <c r="C526" s="98">
        <v>1339</v>
      </c>
      <c r="D526" s="99" t="s">
        <v>316</v>
      </c>
      <c r="E526" s="98" t="s">
        <v>303</v>
      </c>
      <c r="F526" s="98">
        <v>10</v>
      </c>
      <c r="G526" s="100">
        <v>72.11</v>
      </c>
      <c r="H526" s="101">
        <f t="shared" si="9"/>
        <v>721.1</v>
      </c>
    </row>
    <row r="527" spans="1:8" ht="15.75" thickBot="1" x14ac:dyDescent="0.3">
      <c r="A527" s="97">
        <v>18</v>
      </c>
      <c r="B527" s="98" t="s">
        <v>786</v>
      </c>
      <c r="C527" s="98" t="s">
        <v>787</v>
      </c>
      <c r="D527" s="99" t="s">
        <v>788</v>
      </c>
      <c r="E527" s="98" t="s">
        <v>286</v>
      </c>
      <c r="F527" s="98">
        <v>2</v>
      </c>
      <c r="G527" s="100">
        <v>700</v>
      </c>
      <c r="H527" s="101">
        <f t="shared" si="9"/>
        <v>1400</v>
      </c>
    </row>
    <row r="528" spans="1:8" ht="15.75" thickBot="1" x14ac:dyDescent="0.3">
      <c r="A528" s="97">
        <v>21</v>
      </c>
      <c r="B528" s="98" t="s">
        <v>786</v>
      </c>
      <c r="C528" s="98" t="s">
        <v>787</v>
      </c>
      <c r="D528" s="99" t="s">
        <v>789</v>
      </c>
      <c r="E528" s="98" t="s">
        <v>286</v>
      </c>
      <c r="F528" s="98">
        <v>2</v>
      </c>
      <c r="G528" s="100">
        <v>899</v>
      </c>
      <c r="H528" s="101">
        <f t="shared" si="9"/>
        <v>1798</v>
      </c>
    </row>
    <row r="529" spans="1:8" ht="15.75" thickBot="1" x14ac:dyDescent="0.3">
      <c r="A529" s="97">
        <v>22</v>
      </c>
      <c r="B529" s="98" t="s">
        <v>786</v>
      </c>
      <c r="C529" s="98" t="s">
        <v>787</v>
      </c>
      <c r="D529" s="99" t="s">
        <v>790</v>
      </c>
      <c r="E529" s="98" t="s">
        <v>286</v>
      </c>
      <c r="F529" s="98">
        <v>2</v>
      </c>
      <c r="G529" s="100">
        <v>1100</v>
      </c>
      <c r="H529" s="101">
        <f t="shared" si="9"/>
        <v>2200</v>
      </c>
    </row>
    <row r="530" spans="1:8" ht="15.75" thickBot="1" x14ac:dyDescent="0.3">
      <c r="A530" s="97">
        <v>23</v>
      </c>
      <c r="B530" s="98" t="s">
        <v>786</v>
      </c>
      <c r="C530" s="98" t="s">
        <v>787</v>
      </c>
      <c r="D530" s="99" t="s">
        <v>791</v>
      </c>
      <c r="E530" s="98" t="s">
        <v>286</v>
      </c>
      <c r="F530" s="98">
        <v>2</v>
      </c>
      <c r="G530" s="100">
        <v>1827.2</v>
      </c>
      <c r="H530" s="101">
        <f t="shared" si="9"/>
        <v>3654.4</v>
      </c>
    </row>
    <row r="531" spans="1:8" ht="15.75" thickBot="1" x14ac:dyDescent="0.3">
      <c r="A531" s="97">
        <v>24</v>
      </c>
      <c r="B531" s="98" t="s">
        <v>786</v>
      </c>
      <c r="C531" s="98" t="s">
        <v>787</v>
      </c>
      <c r="D531" s="99" t="s">
        <v>792</v>
      </c>
      <c r="E531" s="98" t="s">
        <v>286</v>
      </c>
      <c r="F531" s="98">
        <v>2</v>
      </c>
      <c r="G531" s="100">
        <v>2269</v>
      </c>
      <c r="H531" s="101">
        <f t="shared" si="9"/>
        <v>4538</v>
      </c>
    </row>
    <row r="532" spans="1:8" ht="15.75" thickBot="1" x14ac:dyDescent="0.3">
      <c r="A532" s="97">
        <v>26</v>
      </c>
      <c r="B532" s="98" t="s">
        <v>786</v>
      </c>
      <c r="C532" s="98" t="s">
        <v>787</v>
      </c>
      <c r="D532" s="99" t="s">
        <v>793</v>
      </c>
      <c r="E532" s="98" t="s">
        <v>286</v>
      </c>
      <c r="F532" s="98">
        <v>2</v>
      </c>
      <c r="G532" s="100">
        <v>649</v>
      </c>
      <c r="H532" s="101">
        <f t="shared" si="9"/>
        <v>1298</v>
      </c>
    </row>
    <row r="533" spans="1:8" ht="24.75" thickBot="1" x14ac:dyDescent="0.3">
      <c r="A533" s="97">
        <v>27</v>
      </c>
      <c r="B533" s="98" t="s">
        <v>794</v>
      </c>
      <c r="C533" s="98" t="s">
        <v>787</v>
      </c>
      <c r="D533" s="99" t="s">
        <v>795</v>
      </c>
      <c r="E533" s="98" t="s">
        <v>286</v>
      </c>
      <c r="F533" s="98">
        <v>10</v>
      </c>
      <c r="G533" s="100">
        <v>10.29</v>
      </c>
      <c r="H533" s="101">
        <f t="shared" si="9"/>
        <v>102.89999999999999</v>
      </c>
    </row>
    <row r="534" spans="1:8" ht="24.75" thickBot="1" x14ac:dyDescent="0.3">
      <c r="A534" s="97">
        <v>28</v>
      </c>
      <c r="B534" s="98" t="s">
        <v>794</v>
      </c>
      <c r="C534" s="98" t="s">
        <v>787</v>
      </c>
      <c r="D534" s="99" t="s">
        <v>796</v>
      </c>
      <c r="E534" s="98" t="s">
        <v>286</v>
      </c>
      <c r="F534" s="98">
        <v>10</v>
      </c>
      <c r="G534" s="100">
        <v>9.91</v>
      </c>
      <c r="H534" s="101">
        <f t="shared" si="9"/>
        <v>99.1</v>
      </c>
    </row>
    <row r="535" spans="1:8" ht="24.75" thickBot="1" x14ac:dyDescent="0.3">
      <c r="A535" s="97">
        <v>29</v>
      </c>
      <c r="B535" s="98" t="s">
        <v>794</v>
      </c>
      <c r="C535" s="98" t="s">
        <v>787</v>
      </c>
      <c r="D535" s="99" t="s">
        <v>797</v>
      </c>
      <c r="E535" s="98" t="s">
        <v>286</v>
      </c>
      <c r="F535" s="98">
        <v>10</v>
      </c>
      <c r="G535" s="100">
        <v>9.8000000000000007</v>
      </c>
      <c r="H535" s="101">
        <f t="shared" si="9"/>
        <v>98</v>
      </c>
    </row>
    <row r="536" spans="1:8" ht="24.75" thickBot="1" x14ac:dyDescent="0.3">
      <c r="A536" s="97">
        <v>30</v>
      </c>
      <c r="B536" s="98" t="s">
        <v>794</v>
      </c>
      <c r="C536" s="98" t="s">
        <v>787</v>
      </c>
      <c r="D536" s="99" t="s">
        <v>798</v>
      </c>
      <c r="E536" s="98" t="s">
        <v>286</v>
      </c>
      <c r="F536" s="98">
        <v>10</v>
      </c>
      <c r="G536" s="100">
        <v>23.96</v>
      </c>
      <c r="H536" s="101">
        <f t="shared" si="9"/>
        <v>239.60000000000002</v>
      </c>
    </row>
    <row r="537" spans="1:8" ht="24.75" thickBot="1" x14ac:dyDescent="0.3">
      <c r="A537" s="97">
        <v>31</v>
      </c>
      <c r="B537" s="98" t="s">
        <v>794</v>
      </c>
      <c r="C537" s="98" t="s">
        <v>787</v>
      </c>
      <c r="D537" s="99" t="s">
        <v>799</v>
      </c>
      <c r="E537" s="98" t="s">
        <v>286</v>
      </c>
      <c r="F537" s="98">
        <v>10</v>
      </c>
      <c r="G537" s="100">
        <v>10.26</v>
      </c>
      <c r="H537" s="101">
        <f t="shared" si="9"/>
        <v>102.6</v>
      </c>
    </row>
    <row r="538" spans="1:8" ht="24.75" thickBot="1" x14ac:dyDescent="0.3">
      <c r="A538" s="97">
        <v>32</v>
      </c>
      <c r="B538" s="98" t="s">
        <v>794</v>
      </c>
      <c r="C538" s="98" t="s">
        <v>787</v>
      </c>
      <c r="D538" s="99" t="s">
        <v>800</v>
      </c>
      <c r="E538" s="98" t="s">
        <v>286</v>
      </c>
      <c r="F538" s="98">
        <v>10</v>
      </c>
      <c r="G538" s="100">
        <v>26.37</v>
      </c>
      <c r="H538" s="101">
        <f t="shared" si="9"/>
        <v>263.7</v>
      </c>
    </row>
    <row r="539" spans="1:8" ht="24.75" thickBot="1" x14ac:dyDescent="0.3">
      <c r="A539" s="97">
        <v>33</v>
      </c>
      <c r="B539" s="98" t="s">
        <v>794</v>
      </c>
      <c r="C539" s="98" t="s">
        <v>787</v>
      </c>
      <c r="D539" s="99" t="s">
        <v>801</v>
      </c>
      <c r="E539" s="98" t="s">
        <v>286</v>
      </c>
      <c r="F539" s="98">
        <v>10</v>
      </c>
      <c r="G539" s="100">
        <v>18.39</v>
      </c>
      <c r="H539" s="101">
        <f t="shared" si="9"/>
        <v>183.9</v>
      </c>
    </row>
    <row r="540" spans="1:8" ht="24.75" thickBot="1" x14ac:dyDescent="0.3">
      <c r="A540" s="97">
        <v>34</v>
      </c>
      <c r="B540" s="98" t="s">
        <v>794</v>
      </c>
      <c r="C540" s="98" t="s">
        <v>787</v>
      </c>
      <c r="D540" s="99" t="s">
        <v>802</v>
      </c>
      <c r="E540" s="98" t="s">
        <v>286</v>
      </c>
      <c r="F540" s="98">
        <v>10</v>
      </c>
      <c r="G540" s="100">
        <v>23.05</v>
      </c>
      <c r="H540" s="101">
        <f t="shared" si="9"/>
        <v>230.5</v>
      </c>
    </row>
    <row r="541" spans="1:8" ht="24.75" thickBot="1" x14ac:dyDescent="0.3">
      <c r="A541" s="97">
        <v>35</v>
      </c>
      <c r="B541" s="98" t="s">
        <v>794</v>
      </c>
      <c r="C541" s="98" t="s">
        <v>787</v>
      </c>
      <c r="D541" s="99" t="s">
        <v>803</v>
      </c>
      <c r="E541" s="98" t="s">
        <v>286</v>
      </c>
      <c r="F541" s="98">
        <v>10</v>
      </c>
      <c r="G541" s="100">
        <v>26.45</v>
      </c>
      <c r="H541" s="101">
        <f t="shared" si="9"/>
        <v>264.5</v>
      </c>
    </row>
    <row r="542" spans="1:8" ht="24.75" thickBot="1" x14ac:dyDescent="0.3">
      <c r="A542" s="97">
        <v>36</v>
      </c>
      <c r="B542" s="98" t="s">
        <v>794</v>
      </c>
      <c r="C542" s="98" t="s">
        <v>787</v>
      </c>
      <c r="D542" s="99" t="s">
        <v>804</v>
      </c>
      <c r="E542" s="98" t="s">
        <v>286</v>
      </c>
      <c r="F542" s="98">
        <v>10</v>
      </c>
      <c r="G542" s="100">
        <v>24.76</v>
      </c>
      <c r="H542" s="101">
        <f t="shared" si="9"/>
        <v>247.60000000000002</v>
      </c>
    </row>
    <row r="543" spans="1:8" ht="24.75" thickBot="1" x14ac:dyDescent="0.3">
      <c r="A543" s="97">
        <v>37</v>
      </c>
      <c r="B543" s="98" t="s">
        <v>794</v>
      </c>
      <c r="C543" s="98" t="s">
        <v>787</v>
      </c>
      <c r="D543" s="99" t="s">
        <v>805</v>
      </c>
      <c r="E543" s="98" t="s">
        <v>286</v>
      </c>
      <c r="F543" s="98">
        <v>10</v>
      </c>
      <c r="G543" s="100">
        <v>40.58</v>
      </c>
      <c r="H543" s="101">
        <f t="shared" si="9"/>
        <v>405.79999999999995</v>
      </c>
    </row>
    <row r="544" spans="1:8" ht="24.75" thickBot="1" x14ac:dyDescent="0.3">
      <c r="A544" s="97">
        <v>38</v>
      </c>
      <c r="B544" s="98" t="s">
        <v>806</v>
      </c>
      <c r="C544" s="98" t="s">
        <v>787</v>
      </c>
      <c r="D544" s="99" t="s">
        <v>807</v>
      </c>
      <c r="E544" s="98" t="s">
        <v>286</v>
      </c>
      <c r="F544" s="98">
        <v>5</v>
      </c>
      <c r="G544" s="100">
        <v>37.64</v>
      </c>
      <c r="H544" s="101">
        <f t="shared" si="9"/>
        <v>188.2</v>
      </c>
    </row>
    <row r="545" spans="1:8" ht="24.75" thickBot="1" x14ac:dyDescent="0.3">
      <c r="A545" s="97">
        <v>39</v>
      </c>
      <c r="B545" s="98" t="s">
        <v>241</v>
      </c>
      <c r="C545" s="98">
        <v>11002</v>
      </c>
      <c r="D545" s="99" t="s">
        <v>325</v>
      </c>
      <c r="E545" s="98" t="s">
        <v>303</v>
      </c>
      <c r="F545" s="98">
        <v>5</v>
      </c>
      <c r="G545" s="100">
        <v>34.369999999999997</v>
      </c>
      <c r="H545" s="101">
        <f t="shared" si="9"/>
        <v>171.85</v>
      </c>
    </row>
    <row r="546" spans="1:8" ht="15.75" thickBot="1" x14ac:dyDescent="0.3">
      <c r="A546" s="97">
        <v>40</v>
      </c>
      <c r="B546" s="98" t="s">
        <v>241</v>
      </c>
      <c r="C546" s="98">
        <v>13</v>
      </c>
      <c r="D546" s="99" t="s">
        <v>333</v>
      </c>
      <c r="E546" s="98" t="s">
        <v>303</v>
      </c>
      <c r="F546" s="98">
        <v>10</v>
      </c>
      <c r="G546" s="100">
        <v>30.62</v>
      </c>
      <c r="H546" s="101">
        <f t="shared" si="9"/>
        <v>306.2</v>
      </c>
    </row>
    <row r="547" spans="1:8" ht="48.75" thickBot="1" x14ac:dyDescent="0.3">
      <c r="A547" s="97">
        <v>41</v>
      </c>
      <c r="B547" s="98" t="s">
        <v>808</v>
      </c>
      <c r="C547" s="98" t="s">
        <v>809</v>
      </c>
      <c r="D547" s="99" t="s">
        <v>810</v>
      </c>
      <c r="E547" s="98" t="s">
        <v>274</v>
      </c>
      <c r="F547" s="98">
        <v>5</v>
      </c>
      <c r="G547" s="100">
        <v>223.44</v>
      </c>
      <c r="H547" s="101">
        <f t="shared" si="9"/>
        <v>1117.2</v>
      </c>
    </row>
    <row r="548" spans="1:8" ht="48.75" thickBot="1" x14ac:dyDescent="0.3">
      <c r="A548" s="97">
        <v>42</v>
      </c>
      <c r="B548" s="98" t="s">
        <v>808</v>
      </c>
      <c r="C548" s="98" t="s">
        <v>811</v>
      </c>
      <c r="D548" s="99" t="s">
        <v>812</v>
      </c>
      <c r="E548" s="98" t="s">
        <v>274</v>
      </c>
      <c r="F548" s="98">
        <v>5</v>
      </c>
      <c r="G548" s="100">
        <v>172.53</v>
      </c>
      <c r="H548" s="101">
        <f t="shared" si="9"/>
        <v>862.65</v>
      </c>
    </row>
    <row r="549" spans="1:8" ht="36.75" thickBot="1" x14ac:dyDescent="0.3">
      <c r="A549" s="97">
        <v>43</v>
      </c>
      <c r="B549" s="98" t="s">
        <v>808</v>
      </c>
      <c r="C549" s="98" t="s">
        <v>813</v>
      </c>
      <c r="D549" s="99" t="s">
        <v>814</v>
      </c>
      <c r="E549" s="98" t="s">
        <v>274</v>
      </c>
      <c r="F549" s="98">
        <v>5</v>
      </c>
      <c r="G549" s="100">
        <v>112.83</v>
      </c>
      <c r="H549" s="101">
        <f t="shared" si="9"/>
        <v>564.15</v>
      </c>
    </row>
    <row r="550" spans="1:8" ht="36.75" thickBot="1" x14ac:dyDescent="0.3">
      <c r="A550" s="97">
        <v>44</v>
      </c>
      <c r="B550" s="98" t="s">
        <v>241</v>
      </c>
      <c r="C550" s="98">
        <v>20111</v>
      </c>
      <c r="D550" s="99" t="s">
        <v>701</v>
      </c>
      <c r="E550" s="98" t="s">
        <v>286</v>
      </c>
      <c r="F550" s="98">
        <v>20</v>
      </c>
      <c r="G550" s="100">
        <v>12.24</v>
      </c>
      <c r="H550" s="101">
        <f t="shared" si="9"/>
        <v>244.8</v>
      </c>
    </row>
    <row r="551" spans="1:8" ht="36.75" thickBot="1" x14ac:dyDescent="0.3">
      <c r="A551" s="97">
        <v>45</v>
      </c>
      <c r="B551" s="98" t="s">
        <v>241</v>
      </c>
      <c r="C551" s="98">
        <v>404</v>
      </c>
      <c r="D551" s="99" t="s">
        <v>702</v>
      </c>
      <c r="E551" s="98" t="s">
        <v>620</v>
      </c>
      <c r="F551" s="98">
        <v>100</v>
      </c>
      <c r="G551" s="100">
        <v>1.66</v>
      </c>
      <c r="H551" s="101">
        <f t="shared" si="9"/>
        <v>166</v>
      </c>
    </row>
    <row r="552" spans="1:8" ht="24.75" thickBot="1" x14ac:dyDescent="0.3">
      <c r="A552" s="97">
        <v>46</v>
      </c>
      <c r="B552" s="98" t="s">
        <v>241</v>
      </c>
      <c r="C552" s="98">
        <v>3148</v>
      </c>
      <c r="D552" s="99" t="s">
        <v>815</v>
      </c>
      <c r="E552" s="98" t="s">
        <v>286</v>
      </c>
      <c r="F552" s="98">
        <v>20</v>
      </c>
      <c r="G552" s="100">
        <v>14.56</v>
      </c>
      <c r="H552" s="101">
        <f t="shared" si="9"/>
        <v>291.2</v>
      </c>
    </row>
    <row r="553" spans="1:8" ht="15.75" thickBot="1" x14ac:dyDescent="0.3">
      <c r="A553" s="97">
        <v>47</v>
      </c>
      <c r="B553" s="98" t="s">
        <v>771</v>
      </c>
      <c r="C553" s="98">
        <v>8115</v>
      </c>
      <c r="D553" s="99" t="s">
        <v>816</v>
      </c>
      <c r="E553" s="98" t="s">
        <v>817</v>
      </c>
      <c r="F553" s="98">
        <v>5</v>
      </c>
      <c r="G553" s="100">
        <v>22</v>
      </c>
      <c r="H553" s="101">
        <f t="shared" si="9"/>
        <v>110</v>
      </c>
    </row>
    <row r="554" spans="1:8" ht="15.75" thickBot="1" x14ac:dyDescent="0.3">
      <c r="A554" s="97">
        <v>48</v>
      </c>
      <c r="B554" s="98" t="s">
        <v>786</v>
      </c>
      <c r="C554" s="98" t="s">
        <v>787</v>
      </c>
      <c r="D554" s="99" t="s">
        <v>818</v>
      </c>
      <c r="E554" s="98" t="s">
        <v>286</v>
      </c>
      <c r="F554" s="98">
        <v>1</v>
      </c>
      <c r="G554" s="100">
        <v>495.51</v>
      </c>
      <c r="H554" s="101">
        <f t="shared" si="9"/>
        <v>495.51</v>
      </c>
    </row>
    <row r="555" spans="1:8" ht="15.75" thickBot="1" x14ac:dyDescent="0.3">
      <c r="A555" s="97">
        <v>50</v>
      </c>
      <c r="B555" s="98" t="s">
        <v>786</v>
      </c>
      <c r="C555" s="98" t="s">
        <v>787</v>
      </c>
      <c r="D555" s="99" t="s">
        <v>819</v>
      </c>
      <c r="E555" s="98" t="s">
        <v>286</v>
      </c>
      <c r="F555" s="98">
        <v>1</v>
      </c>
      <c r="G555" s="100">
        <v>624.96</v>
      </c>
      <c r="H555" s="101">
        <f t="shared" si="9"/>
        <v>624.96</v>
      </c>
    </row>
    <row r="556" spans="1:8" ht="15.75" thickBot="1" x14ac:dyDescent="0.3">
      <c r="A556" s="97">
        <v>51</v>
      </c>
      <c r="B556" s="98" t="s">
        <v>786</v>
      </c>
      <c r="C556" s="98" t="s">
        <v>787</v>
      </c>
      <c r="D556" s="99" t="s">
        <v>820</v>
      </c>
      <c r="E556" s="98" t="s">
        <v>286</v>
      </c>
      <c r="F556" s="98">
        <v>1</v>
      </c>
      <c r="G556" s="100">
        <v>555.22</v>
      </c>
      <c r="H556" s="101">
        <f t="shared" si="9"/>
        <v>555.22</v>
      </c>
    </row>
    <row r="557" spans="1:8" ht="15.75" thickBot="1" x14ac:dyDescent="0.3">
      <c r="A557" s="97">
        <v>52</v>
      </c>
      <c r="B557" s="98" t="s">
        <v>241</v>
      </c>
      <c r="C557" s="98">
        <v>4229</v>
      </c>
      <c r="D557" s="99" t="s">
        <v>352</v>
      </c>
      <c r="E557" s="98" t="s">
        <v>303</v>
      </c>
      <c r="F557" s="98">
        <v>5</v>
      </c>
      <c r="G557" s="100">
        <v>44.76</v>
      </c>
      <c r="H557" s="101">
        <f t="shared" si="9"/>
        <v>223.79999999999998</v>
      </c>
    </row>
    <row r="558" spans="1:8" ht="36.75" thickBot="1" x14ac:dyDescent="0.3">
      <c r="A558" s="97">
        <v>53</v>
      </c>
      <c r="B558" s="98" t="s">
        <v>241</v>
      </c>
      <c r="C558" s="98">
        <v>3522</v>
      </c>
      <c r="D558" s="99" t="s">
        <v>821</v>
      </c>
      <c r="E558" s="98" t="s">
        <v>286</v>
      </c>
      <c r="F558" s="98">
        <v>15</v>
      </c>
      <c r="G558" s="100">
        <v>2.09</v>
      </c>
      <c r="H558" s="101">
        <f t="shared" si="9"/>
        <v>31.349999999999998</v>
      </c>
    </row>
    <row r="559" spans="1:8" ht="24.75" thickBot="1" x14ac:dyDescent="0.3">
      <c r="A559" s="97">
        <v>54</v>
      </c>
      <c r="B559" s="98" t="s">
        <v>241</v>
      </c>
      <c r="C559" s="98">
        <v>3482</v>
      </c>
      <c r="D559" s="99" t="s">
        <v>822</v>
      </c>
      <c r="E559" s="98" t="s">
        <v>286</v>
      </c>
      <c r="F559" s="98">
        <v>15</v>
      </c>
      <c r="G559" s="100">
        <v>4.67</v>
      </c>
      <c r="H559" s="101">
        <f t="shared" si="9"/>
        <v>70.05</v>
      </c>
    </row>
    <row r="560" spans="1:8" ht="24.75" thickBot="1" x14ac:dyDescent="0.3">
      <c r="A560" s="97">
        <v>55</v>
      </c>
      <c r="B560" s="98" t="s">
        <v>241</v>
      </c>
      <c r="C560" s="98">
        <v>3908</v>
      </c>
      <c r="D560" s="99" t="s">
        <v>823</v>
      </c>
      <c r="E560" s="98" t="s">
        <v>286</v>
      </c>
      <c r="F560" s="98">
        <v>15</v>
      </c>
      <c r="G560" s="100">
        <v>4.91</v>
      </c>
      <c r="H560" s="101">
        <f t="shared" si="9"/>
        <v>73.650000000000006</v>
      </c>
    </row>
    <row r="561" spans="1:8" ht="36.75" thickBot="1" x14ac:dyDescent="0.3">
      <c r="A561" s="97">
        <v>56</v>
      </c>
      <c r="B561" s="98" t="s">
        <v>241</v>
      </c>
      <c r="C561" s="98">
        <v>12410</v>
      </c>
      <c r="D561" s="99" t="s">
        <v>824</v>
      </c>
      <c r="E561" s="98" t="s">
        <v>286</v>
      </c>
      <c r="F561" s="98">
        <v>15</v>
      </c>
      <c r="G561" s="100">
        <v>10.94</v>
      </c>
      <c r="H561" s="101">
        <f t="shared" si="9"/>
        <v>164.1</v>
      </c>
    </row>
    <row r="562" spans="1:8" ht="36.75" thickBot="1" x14ac:dyDescent="0.3">
      <c r="A562" s="97">
        <v>57</v>
      </c>
      <c r="B562" s="98" t="s">
        <v>241</v>
      </c>
      <c r="C562" s="98">
        <v>3925</v>
      </c>
      <c r="D562" s="99" t="s">
        <v>825</v>
      </c>
      <c r="E562" s="98" t="s">
        <v>286</v>
      </c>
      <c r="F562" s="98">
        <v>15</v>
      </c>
      <c r="G562" s="100">
        <v>31.65</v>
      </c>
      <c r="H562" s="101">
        <f t="shared" si="9"/>
        <v>474.75</v>
      </c>
    </row>
    <row r="563" spans="1:8" ht="48.75" thickBot="1" x14ac:dyDescent="0.3">
      <c r="A563" s="97">
        <v>58</v>
      </c>
      <c r="B563" s="98" t="s">
        <v>241</v>
      </c>
      <c r="C563" s="98">
        <v>12898</v>
      </c>
      <c r="D563" s="99" t="s">
        <v>826</v>
      </c>
      <c r="E563" s="98" t="s">
        <v>286</v>
      </c>
      <c r="F563" s="98">
        <v>3</v>
      </c>
      <c r="G563" s="100">
        <v>177.16</v>
      </c>
      <c r="H563" s="101">
        <f t="shared" si="9"/>
        <v>531.48</v>
      </c>
    </row>
    <row r="564" spans="1:8" ht="15.75" thickBot="1" x14ac:dyDescent="0.3">
      <c r="A564" s="97">
        <v>59</v>
      </c>
      <c r="B564" s="98" t="s">
        <v>786</v>
      </c>
      <c r="C564" s="98" t="s">
        <v>787</v>
      </c>
      <c r="D564" s="99" t="s">
        <v>827</v>
      </c>
      <c r="E564" s="98" t="s">
        <v>419</v>
      </c>
      <c r="F564" s="98">
        <v>10</v>
      </c>
      <c r="G564" s="100">
        <v>222</v>
      </c>
      <c r="H564" s="101">
        <f t="shared" si="9"/>
        <v>2220</v>
      </c>
    </row>
    <row r="565" spans="1:8" ht="24.75" thickBot="1" x14ac:dyDescent="0.3">
      <c r="A565" s="97">
        <v>60</v>
      </c>
      <c r="B565" s="98" t="s">
        <v>241</v>
      </c>
      <c r="C565" s="98">
        <v>4177</v>
      </c>
      <c r="D565" s="99" t="s">
        <v>828</v>
      </c>
      <c r="E565" s="98" t="s">
        <v>286</v>
      </c>
      <c r="F565" s="98">
        <v>20</v>
      </c>
      <c r="G565" s="100">
        <v>4.58</v>
      </c>
      <c r="H565" s="101">
        <f t="shared" si="9"/>
        <v>91.6</v>
      </c>
    </row>
    <row r="566" spans="1:8" ht="24.75" thickBot="1" x14ac:dyDescent="0.3">
      <c r="A566" s="97">
        <v>61</v>
      </c>
      <c r="B566" s="98" t="s">
        <v>241</v>
      </c>
      <c r="C566" s="98">
        <v>4178</v>
      </c>
      <c r="D566" s="99" t="s">
        <v>829</v>
      </c>
      <c r="E566" s="98" t="s">
        <v>286</v>
      </c>
      <c r="F566" s="98">
        <v>20</v>
      </c>
      <c r="G566" s="100">
        <v>6.35</v>
      </c>
      <c r="H566" s="101">
        <f t="shared" si="9"/>
        <v>127</v>
      </c>
    </row>
    <row r="567" spans="1:8" ht="24.75" thickBot="1" x14ac:dyDescent="0.3">
      <c r="A567" s="97">
        <v>62</v>
      </c>
      <c r="B567" s="98" t="s">
        <v>786</v>
      </c>
      <c r="C567" s="98" t="s">
        <v>787</v>
      </c>
      <c r="D567" s="99" t="s">
        <v>830</v>
      </c>
      <c r="E567" s="98" t="s">
        <v>347</v>
      </c>
      <c r="F567" s="98">
        <v>5</v>
      </c>
      <c r="G567" s="100">
        <v>28.2</v>
      </c>
      <c r="H567" s="101">
        <f t="shared" si="9"/>
        <v>141</v>
      </c>
    </row>
    <row r="568" spans="1:8" ht="15.75" thickBot="1" x14ac:dyDescent="0.3">
      <c r="A568" s="97">
        <v>63</v>
      </c>
      <c r="B568" s="98" t="s">
        <v>786</v>
      </c>
      <c r="C568" s="98" t="s">
        <v>787</v>
      </c>
      <c r="D568" s="99" t="s">
        <v>831</v>
      </c>
      <c r="E568" s="98" t="s">
        <v>347</v>
      </c>
      <c r="F568" s="98">
        <v>5</v>
      </c>
      <c r="G568" s="100">
        <v>29</v>
      </c>
      <c r="H568" s="101">
        <f t="shared" si="9"/>
        <v>145</v>
      </c>
    </row>
    <row r="569" spans="1:8" ht="24.75" thickBot="1" x14ac:dyDescent="0.3">
      <c r="A569" s="97">
        <v>64</v>
      </c>
      <c r="B569" s="98" t="s">
        <v>241</v>
      </c>
      <c r="C569" s="98">
        <v>2</v>
      </c>
      <c r="D569" s="99" t="s">
        <v>832</v>
      </c>
      <c r="E569" s="98" t="s">
        <v>833</v>
      </c>
      <c r="F569" s="98">
        <v>5</v>
      </c>
      <c r="G569" s="100">
        <v>28.49</v>
      </c>
      <c r="H569" s="101">
        <f t="shared" si="9"/>
        <v>142.44999999999999</v>
      </c>
    </row>
    <row r="570" spans="1:8" ht="36.75" thickBot="1" x14ac:dyDescent="0.3">
      <c r="A570" s="97">
        <v>65</v>
      </c>
      <c r="B570" s="98" t="s">
        <v>241</v>
      </c>
      <c r="C570" s="98">
        <v>4331</v>
      </c>
      <c r="D570" s="99" t="s">
        <v>834</v>
      </c>
      <c r="E570" s="98" t="s">
        <v>286</v>
      </c>
      <c r="F570" s="98">
        <v>20</v>
      </c>
      <c r="G570" s="100">
        <v>4.34</v>
      </c>
      <c r="H570" s="101">
        <f t="shared" si="9"/>
        <v>86.8</v>
      </c>
    </row>
    <row r="571" spans="1:8" ht="15.75" thickBot="1" x14ac:dyDescent="0.3">
      <c r="A571" s="97">
        <v>66</v>
      </c>
      <c r="B571" s="98" t="s">
        <v>835</v>
      </c>
      <c r="C571" s="98">
        <v>3157</v>
      </c>
      <c r="D571" s="99" t="s">
        <v>836</v>
      </c>
      <c r="E571" s="98" t="s">
        <v>286</v>
      </c>
      <c r="F571" s="98">
        <v>50</v>
      </c>
      <c r="G571" s="100">
        <v>0.96</v>
      </c>
      <c r="H571" s="101">
        <f t="shared" si="9"/>
        <v>48</v>
      </c>
    </row>
    <row r="572" spans="1:8" ht="24.75" thickBot="1" x14ac:dyDescent="0.3">
      <c r="A572" s="97">
        <v>67</v>
      </c>
      <c r="B572" s="98" t="s">
        <v>241</v>
      </c>
      <c r="C572" s="98">
        <v>4342</v>
      </c>
      <c r="D572" s="99" t="s">
        <v>837</v>
      </c>
      <c r="E572" s="98" t="s">
        <v>286</v>
      </c>
      <c r="F572" s="98">
        <v>50</v>
      </c>
      <c r="G572" s="100">
        <v>0.23</v>
      </c>
      <c r="H572" s="101">
        <f t="shared" si="9"/>
        <v>11.5</v>
      </c>
    </row>
    <row r="573" spans="1:8" ht="24.75" thickBot="1" x14ac:dyDescent="0.3">
      <c r="A573" s="97">
        <v>68</v>
      </c>
      <c r="B573" s="98" t="s">
        <v>241</v>
      </c>
      <c r="C573" s="98">
        <v>4330</v>
      </c>
      <c r="D573" s="99" t="s">
        <v>838</v>
      </c>
      <c r="E573" s="98" t="s">
        <v>286</v>
      </c>
      <c r="F573" s="98">
        <v>50</v>
      </c>
      <c r="G573" s="100">
        <v>0.15</v>
      </c>
      <c r="H573" s="101">
        <f t="shared" si="9"/>
        <v>7.5</v>
      </c>
    </row>
    <row r="574" spans="1:8" ht="36.75" thickBot="1" x14ac:dyDescent="0.3">
      <c r="A574" s="97">
        <v>69</v>
      </c>
      <c r="B574" s="98" t="s">
        <v>241</v>
      </c>
      <c r="C574" s="98">
        <v>5104</v>
      </c>
      <c r="D574" s="99" t="s">
        <v>408</v>
      </c>
      <c r="E574" s="98" t="s">
        <v>303</v>
      </c>
      <c r="F574" s="98">
        <v>5</v>
      </c>
      <c r="G574" s="100">
        <v>67.63</v>
      </c>
      <c r="H574" s="101">
        <f t="shared" si="9"/>
        <v>338.15</v>
      </c>
    </row>
    <row r="575" spans="1:8" ht="24.75" thickBot="1" x14ac:dyDescent="0.3">
      <c r="A575" s="97">
        <v>73</v>
      </c>
      <c r="B575" s="98" t="s">
        <v>241</v>
      </c>
      <c r="C575" s="98">
        <v>6016</v>
      </c>
      <c r="D575" s="99" t="s">
        <v>839</v>
      </c>
      <c r="E575" s="98" t="s">
        <v>286</v>
      </c>
      <c r="F575" s="98">
        <v>4</v>
      </c>
      <c r="G575" s="100">
        <v>27.46</v>
      </c>
      <c r="H575" s="101">
        <f t="shared" si="9"/>
        <v>109.84</v>
      </c>
    </row>
    <row r="576" spans="1:8" ht="24.75" thickBot="1" x14ac:dyDescent="0.3">
      <c r="A576" s="97">
        <v>74</v>
      </c>
      <c r="B576" s="98" t="s">
        <v>241</v>
      </c>
      <c r="C576" s="98">
        <v>39914</v>
      </c>
      <c r="D576" s="99" t="s">
        <v>840</v>
      </c>
      <c r="E576" s="98" t="s">
        <v>303</v>
      </c>
      <c r="F576" s="98">
        <v>2</v>
      </c>
      <c r="G576" s="100">
        <v>249.42</v>
      </c>
      <c r="H576" s="101">
        <f t="shared" si="9"/>
        <v>498.84</v>
      </c>
    </row>
    <row r="577" spans="1:8" ht="24.75" thickBot="1" x14ac:dyDescent="0.3">
      <c r="A577" s="97">
        <v>75</v>
      </c>
      <c r="B577" s="98" t="s">
        <v>241</v>
      </c>
      <c r="C577" s="98">
        <v>20083</v>
      </c>
      <c r="D577" s="99" t="s">
        <v>571</v>
      </c>
      <c r="E577" s="98" t="s">
        <v>286</v>
      </c>
      <c r="F577" s="98">
        <v>5</v>
      </c>
      <c r="G577" s="100">
        <v>87.17</v>
      </c>
      <c r="H577" s="101">
        <f t="shared" ref="H577:H590" si="10">F577*G577</f>
        <v>435.85</v>
      </c>
    </row>
    <row r="578" spans="1:8" ht="24.75" thickBot="1" x14ac:dyDescent="0.3">
      <c r="A578" s="97">
        <v>76</v>
      </c>
      <c r="B578" s="98" t="s">
        <v>241</v>
      </c>
      <c r="C578" s="98">
        <v>5318</v>
      </c>
      <c r="D578" s="99" t="s">
        <v>244</v>
      </c>
      <c r="E578" s="98" t="s">
        <v>347</v>
      </c>
      <c r="F578" s="98">
        <v>5</v>
      </c>
      <c r="G578" s="100">
        <v>20.260000000000002</v>
      </c>
      <c r="H578" s="101">
        <f t="shared" si="10"/>
        <v>101.30000000000001</v>
      </c>
    </row>
    <row r="579" spans="1:8" ht="15.75" thickBot="1" x14ac:dyDescent="0.3">
      <c r="A579" s="97">
        <v>77</v>
      </c>
      <c r="B579" s="98" t="s">
        <v>241</v>
      </c>
      <c r="C579" s="98">
        <v>6298</v>
      </c>
      <c r="D579" s="99" t="s">
        <v>841</v>
      </c>
      <c r="E579" s="98" t="s">
        <v>286</v>
      </c>
      <c r="F579" s="98">
        <v>5</v>
      </c>
      <c r="G579" s="100">
        <v>53.83</v>
      </c>
      <c r="H579" s="101">
        <f t="shared" si="10"/>
        <v>269.14999999999998</v>
      </c>
    </row>
    <row r="580" spans="1:8" ht="24.75" thickBot="1" x14ac:dyDescent="0.3">
      <c r="A580" s="97">
        <v>78</v>
      </c>
      <c r="B580" s="98" t="s">
        <v>835</v>
      </c>
      <c r="C580" s="98">
        <v>2107</v>
      </c>
      <c r="D580" s="99" t="s">
        <v>842</v>
      </c>
      <c r="E580" s="98" t="s">
        <v>247</v>
      </c>
      <c r="F580" s="98">
        <v>20</v>
      </c>
      <c r="G580" s="100">
        <v>0.57999999999999996</v>
      </c>
      <c r="H580" s="101">
        <f t="shared" si="10"/>
        <v>11.6</v>
      </c>
    </row>
    <row r="581" spans="1:8" ht="48.75" thickBot="1" x14ac:dyDescent="0.3">
      <c r="A581" s="97">
        <v>79</v>
      </c>
      <c r="B581" s="98" t="s">
        <v>241</v>
      </c>
      <c r="C581" s="98">
        <v>39660</v>
      </c>
      <c r="D581" s="99" t="s">
        <v>843</v>
      </c>
      <c r="E581" s="98" t="s">
        <v>620</v>
      </c>
      <c r="F581" s="98">
        <v>10</v>
      </c>
      <c r="G581" s="100">
        <v>40.1</v>
      </c>
      <c r="H581" s="101">
        <f t="shared" si="10"/>
        <v>401</v>
      </c>
    </row>
    <row r="582" spans="1:8" ht="48.75" thickBot="1" x14ac:dyDescent="0.3">
      <c r="A582" s="97">
        <v>80</v>
      </c>
      <c r="B582" s="98" t="s">
        <v>241</v>
      </c>
      <c r="C582" s="98">
        <v>39662</v>
      </c>
      <c r="D582" s="99" t="s">
        <v>844</v>
      </c>
      <c r="E582" s="98" t="s">
        <v>620</v>
      </c>
      <c r="F582" s="98">
        <v>10</v>
      </c>
      <c r="G582" s="100">
        <v>19.22</v>
      </c>
      <c r="H582" s="101">
        <f t="shared" si="10"/>
        <v>192.2</v>
      </c>
    </row>
    <row r="583" spans="1:8" ht="48.75" thickBot="1" x14ac:dyDescent="0.3">
      <c r="A583" s="97">
        <v>81</v>
      </c>
      <c r="B583" s="98" t="s">
        <v>241</v>
      </c>
      <c r="C583" s="98">
        <v>39666</v>
      </c>
      <c r="D583" s="99" t="s">
        <v>845</v>
      </c>
      <c r="E583" s="98" t="s">
        <v>620</v>
      </c>
      <c r="F583" s="98">
        <v>10</v>
      </c>
      <c r="G583" s="100">
        <v>60.33</v>
      </c>
      <c r="H583" s="101">
        <f t="shared" si="10"/>
        <v>603.29999999999995</v>
      </c>
    </row>
    <row r="584" spans="1:8" ht="48.75" thickBot="1" x14ac:dyDescent="0.3">
      <c r="A584" s="97">
        <v>82</v>
      </c>
      <c r="B584" s="98" t="s">
        <v>241</v>
      </c>
      <c r="C584" s="98">
        <v>39664</v>
      </c>
      <c r="D584" s="99" t="s">
        <v>846</v>
      </c>
      <c r="E584" s="98" t="s">
        <v>620</v>
      </c>
      <c r="F584" s="98">
        <v>10</v>
      </c>
      <c r="G584" s="100">
        <v>29.57</v>
      </c>
      <c r="H584" s="101">
        <f t="shared" si="10"/>
        <v>295.7</v>
      </c>
    </row>
    <row r="585" spans="1:8" ht="48.75" thickBot="1" x14ac:dyDescent="0.3">
      <c r="A585" s="97">
        <v>83</v>
      </c>
      <c r="B585" s="98" t="s">
        <v>241</v>
      </c>
      <c r="C585" s="98">
        <v>39665</v>
      </c>
      <c r="D585" s="99" t="s">
        <v>847</v>
      </c>
      <c r="E585" s="98" t="s">
        <v>620</v>
      </c>
      <c r="F585" s="98">
        <v>10</v>
      </c>
      <c r="G585" s="100">
        <v>49.88</v>
      </c>
      <c r="H585" s="101">
        <f t="shared" si="10"/>
        <v>498.8</v>
      </c>
    </row>
    <row r="586" spans="1:8" ht="24.75" thickBot="1" x14ac:dyDescent="0.3">
      <c r="A586" s="97">
        <v>84</v>
      </c>
      <c r="B586" s="98" t="s">
        <v>241</v>
      </c>
      <c r="C586" s="98">
        <v>11746</v>
      </c>
      <c r="D586" s="99" t="s">
        <v>848</v>
      </c>
      <c r="E586" s="98" t="s">
        <v>286</v>
      </c>
      <c r="F586" s="98">
        <v>5</v>
      </c>
      <c r="G586" s="100">
        <v>60.81</v>
      </c>
      <c r="H586" s="101">
        <f t="shared" si="10"/>
        <v>304.05</v>
      </c>
    </row>
    <row r="587" spans="1:8" ht="24.75" thickBot="1" x14ac:dyDescent="0.3">
      <c r="A587" s="97">
        <v>85</v>
      </c>
      <c r="B587" s="98" t="s">
        <v>241</v>
      </c>
      <c r="C587" s="98">
        <v>11751</v>
      </c>
      <c r="D587" s="99" t="s">
        <v>849</v>
      </c>
      <c r="E587" s="98" t="s">
        <v>286</v>
      </c>
      <c r="F587" s="98">
        <v>5</v>
      </c>
      <c r="G587" s="100">
        <v>109.22</v>
      </c>
      <c r="H587" s="101">
        <f t="shared" si="10"/>
        <v>546.1</v>
      </c>
    </row>
    <row r="588" spans="1:8" ht="24.75" thickBot="1" x14ac:dyDescent="0.3">
      <c r="A588" s="97">
        <v>86</v>
      </c>
      <c r="B588" s="98" t="s">
        <v>241</v>
      </c>
      <c r="C588" s="98">
        <v>11747</v>
      </c>
      <c r="D588" s="99" t="s">
        <v>850</v>
      </c>
      <c r="E588" s="98" t="s">
        <v>286</v>
      </c>
      <c r="F588" s="98">
        <v>5</v>
      </c>
      <c r="G588" s="100">
        <v>168.41</v>
      </c>
      <c r="H588" s="101">
        <f t="shared" si="10"/>
        <v>842.05</v>
      </c>
    </row>
    <row r="589" spans="1:8" ht="36.75" thickBot="1" x14ac:dyDescent="0.3">
      <c r="A589" s="97">
        <v>87</v>
      </c>
      <c r="B589" s="98" t="s">
        <v>241</v>
      </c>
      <c r="C589" s="98">
        <v>10416</v>
      </c>
      <c r="D589" s="99" t="s">
        <v>851</v>
      </c>
      <c r="E589" s="98" t="s">
        <v>286</v>
      </c>
      <c r="F589" s="98">
        <v>5</v>
      </c>
      <c r="G589" s="100">
        <v>141.61000000000001</v>
      </c>
      <c r="H589" s="101">
        <f t="shared" si="10"/>
        <v>708.05000000000007</v>
      </c>
    </row>
    <row r="590" spans="1:8" ht="24.75" thickBot="1" x14ac:dyDescent="0.3">
      <c r="A590" s="97">
        <v>88</v>
      </c>
      <c r="B590" s="98" t="s">
        <v>835</v>
      </c>
      <c r="C590" s="98">
        <v>4869</v>
      </c>
      <c r="D590" s="99" t="s">
        <v>852</v>
      </c>
      <c r="E590" s="98" t="s">
        <v>286</v>
      </c>
      <c r="F590" s="98">
        <v>5</v>
      </c>
      <c r="G590" s="100">
        <v>29.85</v>
      </c>
      <c r="H590" s="101">
        <f t="shared" si="10"/>
        <v>149.25</v>
      </c>
    </row>
    <row r="591" spans="1:8" ht="15.75" thickBot="1" x14ac:dyDescent="0.3">
      <c r="A591" s="290" t="s">
        <v>853</v>
      </c>
      <c r="B591" s="291"/>
      <c r="C591" s="291"/>
      <c r="D591" s="291"/>
      <c r="E591" s="291"/>
      <c r="F591" s="291"/>
      <c r="G591" s="292"/>
      <c r="H591" s="104">
        <f>SUM(H512:H590)</f>
        <v>37418.32</v>
      </c>
    </row>
    <row r="594" spans="1:7" ht="24" x14ac:dyDescent="0.25">
      <c r="A594" s="296" t="s">
        <v>854</v>
      </c>
      <c r="B594" s="296"/>
      <c r="C594" s="296"/>
      <c r="D594" s="296"/>
      <c r="E594" s="105" t="s">
        <v>167</v>
      </c>
      <c r="F594" s="106" t="s">
        <v>855</v>
      </c>
      <c r="G594" s="107" t="s">
        <v>856</v>
      </c>
    </row>
    <row r="595" spans="1:7" x14ac:dyDescent="0.25">
      <c r="A595" s="297" t="s">
        <v>232</v>
      </c>
      <c r="B595" s="297"/>
      <c r="C595" s="297"/>
      <c r="D595" s="297"/>
      <c r="E595" s="108">
        <v>1</v>
      </c>
      <c r="F595" s="109">
        <f>G595/12</f>
        <v>11913.350000000004</v>
      </c>
      <c r="G595" s="110">
        <f>H195</f>
        <v>142960.20000000004</v>
      </c>
    </row>
    <row r="596" spans="1:7" x14ac:dyDescent="0.25">
      <c r="A596" s="297" t="s">
        <v>458</v>
      </c>
      <c r="B596" s="297"/>
      <c r="C596" s="297"/>
      <c r="D596" s="297"/>
      <c r="E596" s="108">
        <v>1</v>
      </c>
      <c r="F596" s="109">
        <f>G596/12</f>
        <v>2920.6275000000001</v>
      </c>
      <c r="G596" s="110">
        <f>H342</f>
        <v>35047.53</v>
      </c>
    </row>
    <row r="597" spans="1:7" x14ac:dyDescent="0.25">
      <c r="A597" s="297" t="s">
        <v>601</v>
      </c>
      <c r="B597" s="297"/>
      <c r="C597" s="297"/>
      <c r="D597" s="297"/>
      <c r="E597" s="108">
        <v>1</v>
      </c>
      <c r="F597" s="109">
        <f>G597/12</f>
        <v>7164.4283333333306</v>
      </c>
      <c r="G597" s="110">
        <f>H508</f>
        <v>85973.13999999997</v>
      </c>
    </row>
    <row r="598" spans="1:7" x14ac:dyDescent="0.25">
      <c r="A598" s="297" t="s">
        <v>857</v>
      </c>
      <c r="B598" s="297"/>
      <c r="C598" s="297"/>
      <c r="D598" s="297"/>
      <c r="E598" s="108">
        <v>1</v>
      </c>
      <c r="F598" s="109">
        <f>G598/12</f>
        <v>3118.1933333333332</v>
      </c>
      <c r="G598" s="110">
        <f>H591</f>
        <v>37418.32</v>
      </c>
    </row>
    <row r="599" spans="1:7" x14ac:dyDescent="0.25">
      <c r="A599" s="298" t="s">
        <v>858</v>
      </c>
      <c r="B599" s="298"/>
      <c r="C599" s="298"/>
      <c r="D599" s="298"/>
      <c r="E599" s="111"/>
      <c r="F599" s="112">
        <f>SUM(F595:F598)</f>
        <v>25116.599166666667</v>
      </c>
      <c r="G599" s="113">
        <f>SUM(G595:G598)</f>
        <v>301399.19</v>
      </c>
    </row>
    <row r="600" spans="1:7" x14ac:dyDescent="0.25">
      <c r="A600" s="114"/>
      <c r="B600" s="114"/>
      <c r="C600" s="114"/>
      <c r="D600" s="114"/>
      <c r="E600" s="115">
        <f>'BDI - MERO FORNECIMENTO'!I4</f>
        <v>0.12615584915412548</v>
      </c>
      <c r="F600" s="289">
        <f>G599*E600</f>
        <v>38023.270748815601</v>
      </c>
      <c r="G600" s="289"/>
    </row>
    <row r="601" spans="1:7" x14ac:dyDescent="0.25">
      <c r="A601" s="114"/>
      <c r="B601" s="114"/>
      <c r="C601" s="114"/>
      <c r="D601" s="114"/>
      <c r="E601" s="299">
        <f>G599+F600</f>
        <v>339422.46074881562</v>
      </c>
      <c r="F601" s="300"/>
      <c r="G601" s="300"/>
    </row>
    <row r="602" spans="1:7" x14ac:dyDescent="0.25">
      <c r="A602" s="114"/>
      <c r="B602" s="114"/>
      <c r="C602" s="114"/>
      <c r="D602" s="114"/>
      <c r="E602" s="289">
        <f>E601/12</f>
        <v>28285.205062401303</v>
      </c>
      <c r="F602" s="289"/>
      <c r="G602" s="289"/>
    </row>
    <row r="604" spans="1:7" ht="24" x14ac:dyDescent="0.25">
      <c r="A604" s="296" t="s">
        <v>854</v>
      </c>
      <c r="B604" s="296"/>
      <c r="C604" s="296"/>
      <c r="D604" s="296"/>
      <c r="E604" s="105" t="s">
        <v>167</v>
      </c>
      <c r="F604" s="106" t="s">
        <v>855</v>
      </c>
      <c r="G604" s="107" t="s">
        <v>856</v>
      </c>
    </row>
    <row r="605" spans="1:7" x14ac:dyDescent="0.25">
      <c r="A605" s="297" t="s">
        <v>232</v>
      </c>
      <c r="B605" s="297"/>
      <c r="C605" s="297"/>
      <c r="D605" s="297"/>
      <c r="E605" s="108">
        <v>1</v>
      </c>
      <c r="F605" s="109">
        <f>G605/12</f>
        <v>11913.350000000004</v>
      </c>
      <c r="G605" s="110">
        <f>H195</f>
        <v>142960.20000000004</v>
      </c>
    </row>
    <row r="606" spans="1:7" x14ac:dyDescent="0.25">
      <c r="A606" s="297" t="s">
        <v>458</v>
      </c>
      <c r="B606" s="297"/>
      <c r="C606" s="297"/>
      <c r="D606" s="297"/>
      <c r="E606" s="108">
        <v>1</v>
      </c>
      <c r="F606" s="109">
        <f>G606/12</f>
        <v>2920.6275000000001</v>
      </c>
      <c r="G606" s="110">
        <f>H342</f>
        <v>35047.53</v>
      </c>
    </row>
    <row r="607" spans="1:7" x14ac:dyDescent="0.25">
      <c r="A607" s="297" t="s">
        <v>601</v>
      </c>
      <c r="B607" s="297"/>
      <c r="C607" s="297"/>
      <c r="D607" s="297"/>
      <c r="E607" s="108">
        <v>1</v>
      </c>
      <c r="F607" s="109">
        <f>G607/12</f>
        <v>7164.4283333333306</v>
      </c>
      <c r="G607" s="110">
        <f>H508</f>
        <v>85973.13999999997</v>
      </c>
    </row>
    <row r="608" spans="1:7" x14ac:dyDescent="0.25">
      <c r="A608" s="297" t="s">
        <v>857</v>
      </c>
      <c r="B608" s="297"/>
      <c r="C608" s="297"/>
      <c r="D608" s="297"/>
      <c r="E608" s="108">
        <v>1</v>
      </c>
      <c r="F608" s="109">
        <f>G608/12</f>
        <v>3118.1933333333332</v>
      </c>
      <c r="G608" s="110">
        <f>H591</f>
        <v>37418.32</v>
      </c>
    </row>
    <row r="609" spans="1:7" x14ac:dyDescent="0.25">
      <c r="A609" s="298" t="s">
        <v>858</v>
      </c>
      <c r="B609" s="298"/>
      <c r="C609" s="298"/>
      <c r="D609" s="298"/>
      <c r="E609" s="111"/>
      <c r="F609" s="112">
        <f>SUM(F605:F608)</f>
        <v>25116.599166666667</v>
      </c>
      <c r="G609" s="113">
        <f>SUM(G605:G608)</f>
        <v>301399.19</v>
      </c>
    </row>
    <row r="610" spans="1:7" x14ac:dyDescent="0.25">
      <c r="A610" s="114"/>
      <c r="B610" s="114"/>
      <c r="C610" s="114"/>
      <c r="D610" s="114"/>
      <c r="E610" s="115">
        <f>'BDI - MERO FORNECIMENTO'!U4</f>
        <v>0.18132951623298865</v>
      </c>
      <c r="F610" s="289">
        <f>G609*E610</f>
        <v>54652.569315714631</v>
      </c>
      <c r="G610" s="289"/>
    </row>
    <row r="611" spans="1:7" x14ac:dyDescent="0.25">
      <c r="A611" s="114"/>
      <c r="B611" s="114"/>
      <c r="C611" s="114"/>
      <c r="D611" s="114"/>
      <c r="E611" s="299">
        <f>G609+F610</f>
        <v>356051.75931571465</v>
      </c>
      <c r="F611" s="300"/>
      <c r="G611" s="300"/>
    </row>
    <row r="612" spans="1:7" x14ac:dyDescent="0.25">
      <c r="A612" s="114"/>
      <c r="B612" s="114"/>
      <c r="C612" s="114"/>
      <c r="D612" s="114"/>
      <c r="E612" s="289">
        <f>E611/12</f>
        <v>29670.979942976221</v>
      </c>
      <c r="F612" s="289"/>
      <c r="G612" s="289"/>
    </row>
  </sheetData>
  <mergeCells count="27">
    <mergeCell ref="A609:D609"/>
    <mergeCell ref="F610:G610"/>
    <mergeCell ref="E611:G611"/>
    <mergeCell ref="E612:G612"/>
    <mergeCell ref="A604:D604"/>
    <mergeCell ref="A605:D605"/>
    <mergeCell ref="A606:D606"/>
    <mergeCell ref="A607:D607"/>
    <mergeCell ref="A608:D608"/>
    <mergeCell ref="A344:H344"/>
    <mergeCell ref="A1:H1"/>
    <mergeCell ref="A2:H2"/>
    <mergeCell ref="A195:G195"/>
    <mergeCell ref="A197:H197"/>
    <mergeCell ref="A342:G342"/>
    <mergeCell ref="E602:G602"/>
    <mergeCell ref="A508:G508"/>
    <mergeCell ref="A510:H510"/>
    <mergeCell ref="A591:G591"/>
    <mergeCell ref="A594:D594"/>
    <mergeCell ref="A595:D595"/>
    <mergeCell ref="A596:D596"/>
    <mergeCell ref="A597:D597"/>
    <mergeCell ref="A598:D598"/>
    <mergeCell ref="A599:D599"/>
    <mergeCell ref="F600:G600"/>
    <mergeCell ref="E601:G601"/>
  </mergeCells>
  <hyperlinks>
    <hyperlink ref="B522" r:id="rId1" display="https://www.orcafascio.com/banco/insumos" xr:uid="{CFB146E7-C1AE-4EE5-921E-9CC4A216DD59}"/>
    <hyperlink ref="D548" r:id="rId2" display="https://www.orcafascio.com/banco/insumos" xr:uid="{0EBF6371-ECAD-4CE7-A5EA-788C5124EA92}"/>
    <hyperlink ref="B548" r:id="rId3" display="https://www.orcafascio.com/banco/insumos" xr:uid="{C002BF97-0BE2-444B-8792-5504F4B4BFD6}"/>
  </hyperlinks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B79C0-D7F2-4EFA-A952-1B69D780CCB3}">
  <dimension ref="A1:K47"/>
  <sheetViews>
    <sheetView topLeftCell="A20" workbookViewId="0">
      <selection activeCell="Q38" sqref="Q38"/>
    </sheetView>
  </sheetViews>
  <sheetFormatPr defaultColWidth="9.140625" defaultRowHeight="15" x14ac:dyDescent="0.25"/>
  <cols>
    <col min="1" max="2" width="9.42578125" bestFit="1" customWidth="1"/>
    <col min="3" max="3" width="20" bestFit="1" customWidth="1"/>
    <col min="4" max="4" width="50" customWidth="1"/>
    <col min="6" max="6" width="9.42578125" bestFit="1" customWidth="1"/>
    <col min="7" max="7" width="11.140625" customWidth="1"/>
    <col min="8" max="8" width="13" customWidth="1"/>
    <col min="9" max="9" width="13.5703125" customWidth="1"/>
    <col min="10" max="10" width="12.7109375" customWidth="1"/>
    <col min="11" max="11" width="14.5703125" bestFit="1" customWidth="1"/>
    <col min="13" max="13" width="12.5703125" bestFit="1" customWidth="1"/>
  </cols>
  <sheetData>
    <row r="1" spans="1:11" x14ac:dyDescent="0.25">
      <c r="A1" s="318" t="s">
        <v>860</v>
      </c>
      <c r="B1" s="319"/>
      <c r="C1" s="319"/>
      <c r="D1" s="320"/>
      <c r="E1" s="320"/>
      <c r="F1" s="320"/>
      <c r="G1" s="320"/>
      <c r="H1" s="320"/>
      <c r="I1" s="320"/>
      <c r="J1" s="320"/>
      <c r="K1" s="321"/>
    </row>
    <row r="2" spans="1:11" ht="14.45" customHeight="1" x14ac:dyDescent="0.25">
      <c r="A2" s="322" t="s">
        <v>861</v>
      </c>
      <c r="B2" s="323"/>
      <c r="C2" s="323"/>
      <c r="D2" s="324"/>
      <c r="E2" s="324"/>
      <c r="F2" s="324"/>
      <c r="G2" s="324"/>
      <c r="H2" s="324"/>
      <c r="I2" s="324"/>
      <c r="J2" s="324"/>
      <c r="K2" s="325"/>
    </row>
    <row r="3" spans="1:11" ht="15.75" thickBot="1" x14ac:dyDescent="0.3">
      <c r="A3" s="326" t="s">
        <v>862</v>
      </c>
      <c r="B3" s="327"/>
      <c r="C3" s="327"/>
      <c r="D3" s="328"/>
      <c r="E3" s="328"/>
      <c r="F3" s="328"/>
      <c r="G3" s="328"/>
      <c r="H3" s="328"/>
      <c r="I3" s="328"/>
      <c r="J3" s="328"/>
      <c r="K3" s="329"/>
    </row>
    <row r="4" spans="1:11" ht="45" x14ac:dyDescent="0.25">
      <c r="A4" s="77" t="s">
        <v>165</v>
      </c>
      <c r="B4" s="76" t="s">
        <v>863</v>
      </c>
      <c r="C4" s="76" t="s">
        <v>864</v>
      </c>
      <c r="D4" s="75" t="s">
        <v>865</v>
      </c>
      <c r="E4" s="78" t="s">
        <v>866</v>
      </c>
      <c r="F4" s="79" t="s">
        <v>867</v>
      </c>
      <c r="G4" s="79" t="s">
        <v>868</v>
      </c>
      <c r="H4" s="79" t="s">
        <v>869</v>
      </c>
      <c r="I4" s="79" t="s">
        <v>870</v>
      </c>
      <c r="J4" s="79" t="s">
        <v>871</v>
      </c>
      <c r="K4" s="80" t="s">
        <v>872</v>
      </c>
    </row>
    <row r="5" spans="1:11" x14ac:dyDescent="0.25">
      <c r="A5" s="81">
        <v>1</v>
      </c>
      <c r="B5" s="82">
        <v>88309</v>
      </c>
      <c r="C5" s="82" t="s">
        <v>873</v>
      </c>
      <c r="D5" s="83" t="s">
        <v>874</v>
      </c>
      <c r="E5" s="84" t="s">
        <v>875</v>
      </c>
      <c r="F5" s="94">
        <v>26.4</v>
      </c>
      <c r="G5" s="85">
        <v>180</v>
      </c>
      <c r="H5" s="86">
        <f>(F5)*G5</f>
        <v>4752</v>
      </c>
      <c r="I5" s="86">
        <f>(F5*G5)*0.3*1.5</f>
        <v>2138.3999999999996</v>
      </c>
      <c r="J5" s="86">
        <f t="shared" ref="J5:J18" si="0">(F5*G5)*0.15*2</f>
        <v>1425.6</v>
      </c>
      <c r="K5" s="87">
        <f t="shared" ref="K5:K18" si="1">SUM(H5:J5)</f>
        <v>8316</v>
      </c>
    </row>
    <row r="6" spans="1:11" ht="30" x14ac:dyDescent="0.25">
      <c r="A6" s="81">
        <v>2</v>
      </c>
      <c r="B6" s="82">
        <v>88242</v>
      </c>
      <c r="C6" s="82" t="s">
        <v>903</v>
      </c>
      <c r="D6" s="83" t="s">
        <v>905</v>
      </c>
      <c r="E6" s="84" t="s">
        <v>875</v>
      </c>
      <c r="F6" s="94">
        <v>22.38</v>
      </c>
      <c r="G6" s="85">
        <v>90</v>
      </c>
      <c r="H6" s="86">
        <f>(F6)*G6</f>
        <v>2014.1999999999998</v>
      </c>
      <c r="I6" s="86">
        <f>(F6*G6)*0.3*1.5</f>
        <v>906.38999999999987</v>
      </c>
      <c r="J6" s="86">
        <f t="shared" ref="J6" si="2">(F6*G6)*0.15*2</f>
        <v>604.25999999999988</v>
      </c>
      <c r="K6" s="87">
        <f t="shared" ref="K6" si="3">SUM(H6:J6)</f>
        <v>3524.8499999999995</v>
      </c>
    </row>
    <row r="7" spans="1:11" x14ac:dyDescent="0.25">
      <c r="A7" s="81">
        <v>3</v>
      </c>
      <c r="B7" s="82">
        <v>88269</v>
      </c>
      <c r="C7" s="82" t="s">
        <v>876</v>
      </c>
      <c r="D7" s="83" t="s">
        <v>877</v>
      </c>
      <c r="E7" s="84" t="s">
        <v>875</v>
      </c>
      <c r="F7" s="94">
        <v>25.32</v>
      </c>
      <c r="G7" s="85">
        <f>10*12</f>
        <v>120</v>
      </c>
      <c r="H7" s="86">
        <f>(F7)*G7</f>
        <v>3038.4</v>
      </c>
      <c r="I7" s="86">
        <f t="shared" ref="I7:I18" si="4">(F7*G7)*0.3*1.5</f>
        <v>1367.28</v>
      </c>
      <c r="J7" s="86">
        <f t="shared" si="0"/>
        <v>911.52</v>
      </c>
      <c r="K7" s="87">
        <f t="shared" si="1"/>
        <v>5317.2000000000007</v>
      </c>
    </row>
    <row r="8" spans="1:11" x14ac:dyDescent="0.25">
      <c r="A8" s="81">
        <v>4</v>
      </c>
      <c r="B8" s="82">
        <v>88325</v>
      </c>
      <c r="C8" s="82" t="s">
        <v>878</v>
      </c>
      <c r="D8" s="83" t="s">
        <v>879</v>
      </c>
      <c r="E8" s="84" t="s">
        <v>875</v>
      </c>
      <c r="F8" s="94">
        <v>23.52</v>
      </c>
      <c r="G8" s="85">
        <f>10*12</f>
        <v>120</v>
      </c>
      <c r="H8" s="86">
        <f t="shared" ref="H8:H18" si="5">(F8)*G8</f>
        <v>2822.4</v>
      </c>
      <c r="I8" s="86">
        <f t="shared" si="4"/>
        <v>1270.08</v>
      </c>
      <c r="J8" s="86">
        <f t="shared" si="0"/>
        <v>846.72</v>
      </c>
      <c r="K8" s="87">
        <f t="shared" si="1"/>
        <v>4939.2</v>
      </c>
    </row>
    <row r="9" spans="1:11" x14ac:dyDescent="0.25">
      <c r="A9" s="81">
        <v>5</v>
      </c>
      <c r="B9" s="82">
        <v>88310</v>
      </c>
      <c r="C9" s="82" t="s">
        <v>880</v>
      </c>
      <c r="D9" s="83" t="s">
        <v>881</v>
      </c>
      <c r="E9" s="84" t="s">
        <v>875</v>
      </c>
      <c r="F9" s="94">
        <v>28.09</v>
      </c>
      <c r="G9" s="85">
        <f>15*12</f>
        <v>180</v>
      </c>
      <c r="H9" s="86">
        <f t="shared" si="5"/>
        <v>5056.2</v>
      </c>
      <c r="I9" s="86">
        <f t="shared" si="4"/>
        <v>2275.29</v>
      </c>
      <c r="J9" s="86">
        <f t="shared" si="0"/>
        <v>1516.86</v>
      </c>
      <c r="K9" s="87">
        <f t="shared" si="1"/>
        <v>8848.35</v>
      </c>
    </row>
    <row r="10" spans="1:11" ht="30" x14ac:dyDescent="0.25">
      <c r="A10" s="81">
        <v>6</v>
      </c>
      <c r="B10" s="82">
        <v>88267</v>
      </c>
      <c r="C10" s="82" t="s">
        <v>882</v>
      </c>
      <c r="D10" s="83" t="s">
        <v>883</v>
      </c>
      <c r="E10" s="84" t="s">
        <v>875</v>
      </c>
      <c r="F10" s="94">
        <v>26.39</v>
      </c>
      <c r="G10" s="85">
        <f>15*12</f>
        <v>180</v>
      </c>
      <c r="H10" s="86">
        <f t="shared" si="5"/>
        <v>4750.2</v>
      </c>
      <c r="I10" s="86">
        <f t="shared" si="4"/>
        <v>2137.59</v>
      </c>
      <c r="J10" s="86">
        <f t="shared" si="0"/>
        <v>1425.06</v>
      </c>
      <c r="K10" s="87">
        <f t="shared" si="1"/>
        <v>8312.85</v>
      </c>
    </row>
    <row r="11" spans="1:11" x14ac:dyDescent="0.25">
      <c r="A11" s="81">
        <v>7</v>
      </c>
      <c r="B11" s="161">
        <v>88273</v>
      </c>
      <c r="C11" s="82" t="s">
        <v>884</v>
      </c>
      <c r="D11" s="83" t="s">
        <v>885</v>
      </c>
      <c r="E11" s="84" t="s">
        <v>875</v>
      </c>
      <c r="F11" s="94">
        <v>24.58</v>
      </c>
      <c r="G11" s="85">
        <v>150</v>
      </c>
      <c r="H11" s="86">
        <f t="shared" si="5"/>
        <v>3686.9999999999995</v>
      </c>
      <c r="I11" s="86">
        <f t="shared" si="4"/>
        <v>1659.1499999999999</v>
      </c>
      <c r="J11" s="86">
        <f t="shared" si="0"/>
        <v>1106.0999999999999</v>
      </c>
      <c r="K11" s="87">
        <f t="shared" si="1"/>
        <v>6452.25</v>
      </c>
    </row>
    <row r="12" spans="1:11" x14ac:dyDescent="0.25">
      <c r="A12" s="81">
        <v>8</v>
      </c>
      <c r="B12" s="82">
        <v>88262</v>
      </c>
      <c r="C12" s="82" t="s">
        <v>904</v>
      </c>
      <c r="D12" s="83" t="s">
        <v>906</v>
      </c>
      <c r="E12" s="84" t="s">
        <v>875</v>
      </c>
      <c r="F12" s="94">
        <v>25.99</v>
      </c>
      <c r="G12" s="85">
        <v>120</v>
      </c>
      <c r="H12" s="86">
        <f t="shared" ref="H12" si="6">(F12)*G12</f>
        <v>3118.7999999999997</v>
      </c>
      <c r="I12" s="86">
        <f t="shared" ref="I12" si="7">(F12*G12)*0.3*1.5</f>
        <v>1403.4599999999998</v>
      </c>
      <c r="J12" s="86">
        <f t="shared" ref="J12" si="8">(F12*G12)*0.15*2</f>
        <v>935.63999999999987</v>
      </c>
      <c r="K12" s="87">
        <f t="shared" ref="K12" si="9">SUM(H12:J12)</f>
        <v>5457.9</v>
      </c>
    </row>
    <row r="13" spans="1:11" x14ac:dyDescent="0.25">
      <c r="A13" s="81">
        <v>7</v>
      </c>
      <c r="B13" s="82">
        <v>88317</v>
      </c>
      <c r="C13" s="82" t="s">
        <v>886</v>
      </c>
      <c r="D13" s="83" t="s">
        <v>887</v>
      </c>
      <c r="E13" s="84" t="s">
        <v>875</v>
      </c>
      <c r="F13" s="94">
        <v>27.15</v>
      </c>
      <c r="G13" s="85">
        <v>120</v>
      </c>
      <c r="H13" s="86">
        <f t="shared" si="5"/>
        <v>3258</v>
      </c>
      <c r="I13" s="86">
        <f t="shared" si="4"/>
        <v>1466.1</v>
      </c>
      <c r="J13" s="86">
        <f t="shared" si="0"/>
        <v>977.4</v>
      </c>
      <c r="K13" s="87">
        <f t="shared" si="1"/>
        <v>5701.5</v>
      </c>
    </row>
    <row r="14" spans="1:11" x14ac:dyDescent="0.25">
      <c r="A14" s="81">
        <v>8</v>
      </c>
      <c r="B14" s="82">
        <v>88315</v>
      </c>
      <c r="C14" s="82" t="s">
        <v>888</v>
      </c>
      <c r="D14" s="83" t="s">
        <v>889</v>
      </c>
      <c r="E14" s="84" t="s">
        <v>875</v>
      </c>
      <c r="F14" s="94">
        <v>26.21</v>
      </c>
      <c r="G14" s="85">
        <v>120</v>
      </c>
      <c r="H14" s="86">
        <f t="shared" si="5"/>
        <v>3145.2000000000003</v>
      </c>
      <c r="I14" s="86">
        <f t="shared" si="4"/>
        <v>1415.3400000000001</v>
      </c>
      <c r="J14" s="86">
        <f t="shared" si="0"/>
        <v>943.56000000000006</v>
      </c>
      <c r="K14" s="87">
        <f t="shared" si="1"/>
        <v>5504.1000000000013</v>
      </c>
    </row>
    <row r="15" spans="1:11" x14ac:dyDescent="0.25">
      <c r="A15" s="81">
        <v>9</v>
      </c>
      <c r="B15" s="82">
        <v>88264</v>
      </c>
      <c r="C15" s="82" t="s">
        <v>890</v>
      </c>
      <c r="D15" s="83" t="s">
        <v>891</v>
      </c>
      <c r="E15" s="84" t="s">
        <v>875</v>
      </c>
      <c r="F15" s="94">
        <v>27.47</v>
      </c>
      <c r="G15" s="85">
        <f>20*12</f>
        <v>240</v>
      </c>
      <c r="H15" s="86">
        <f t="shared" si="5"/>
        <v>6592.7999999999993</v>
      </c>
      <c r="I15" s="86">
        <f t="shared" si="4"/>
        <v>2966.7599999999993</v>
      </c>
      <c r="J15" s="86">
        <f t="shared" si="0"/>
        <v>1977.8399999999997</v>
      </c>
      <c r="K15" s="87">
        <f t="shared" si="1"/>
        <v>11537.399999999998</v>
      </c>
    </row>
    <row r="16" spans="1:11" ht="30" x14ac:dyDescent="0.25">
      <c r="A16" s="81">
        <v>10</v>
      </c>
      <c r="B16" s="82">
        <v>90775</v>
      </c>
      <c r="C16" s="82" t="s">
        <v>892</v>
      </c>
      <c r="D16" s="83" t="s">
        <v>893</v>
      </c>
      <c r="E16" s="84" t="s">
        <v>875</v>
      </c>
      <c r="F16" s="94">
        <v>22.64</v>
      </c>
      <c r="G16" s="85">
        <f>10*12</f>
        <v>120</v>
      </c>
      <c r="H16" s="86">
        <f t="shared" si="5"/>
        <v>2716.8</v>
      </c>
      <c r="I16" s="86">
        <f t="shared" si="4"/>
        <v>1222.5600000000002</v>
      </c>
      <c r="J16" s="86">
        <f t="shared" si="0"/>
        <v>815.04000000000008</v>
      </c>
      <c r="K16" s="87">
        <f t="shared" si="1"/>
        <v>4754.4000000000005</v>
      </c>
    </row>
    <row r="17" spans="1:11" ht="30" x14ac:dyDescent="0.25">
      <c r="A17" s="81">
        <v>11</v>
      </c>
      <c r="B17" s="82">
        <v>88252</v>
      </c>
      <c r="C17" s="82" t="s">
        <v>894</v>
      </c>
      <c r="D17" s="83" t="s">
        <v>895</v>
      </c>
      <c r="E17" s="84" t="s">
        <v>875</v>
      </c>
      <c r="F17" s="94">
        <v>21.02</v>
      </c>
      <c r="G17" s="85">
        <f>20*12</f>
        <v>240</v>
      </c>
      <c r="H17" s="86">
        <f t="shared" si="5"/>
        <v>5044.8</v>
      </c>
      <c r="I17" s="86">
        <f t="shared" si="4"/>
        <v>2270.16</v>
      </c>
      <c r="J17" s="86">
        <f t="shared" si="0"/>
        <v>1513.44</v>
      </c>
      <c r="K17" s="87">
        <f t="shared" si="1"/>
        <v>8828.4</v>
      </c>
    </row>
    <row r="18" spans="1:11" ht="30.75" thickBot="1" x14ac:dyDescent="0.3">
      <c r="A18" s="81">
        <v>12</v>
      </c>
      <c r="B18" s="82">
        <v>90768</v>
      </c>
      <c r="C18" s="82" t="s">
        <v>896</v>
      </c>
      <c r="D18" s="83" t="s">
        <v>897</v>
      </c>
      <c r="E18" s="84" t="s">
        <v>875</v>
      </c>
      <c r="F18" s="94">
        <v>122.17</v>
      </c>
      <c r="G18" s="88">
        <f>15*12</f>
        <v>180</v>
      </c>
      <c r="H18" s="86">
        <f t="shared" si="5"/>
        <v>21990.6</v>
      </c>
      <c r="I18" s="86">
        <f t="shared" si="4"/>
        <v>9895.7699999999986</v>
      </c>
      <c r="J18" s="86">
        <f t="shared" si="0"/>
        <v>6597.1799999999994</v>
      </c>
      <c r="K18" s="87">
        <f t="shared" si="1"/>
        <v>38483.549999999996</v>
      </c>
    </row>
    <row r="19" spans="1:11" x14ac:dyDescent="0.25">
      <c r="A19" s="330" t="s">
        <v>898</v>
      </c>
      <c r="B19" s="331"/>
      <c r="C19" s="331"/>
      <c r="D19" s="332"/>
      <c r="E19" s="332"/>
      <c r="F19" s="332"/>
      <c r="G19" s="332"/>
      <c r="H19" s="89">
        <f>SUM(H5:H18)</f>
        <v>71987.399999999994</v>
      </c>
      <c r="I19" s="89">
        <f>SUM(I5:I18)</f>
        <v>32394.329999999994</v>
      </c>
      <c r="J19" s="89">
        <f>SUM(J5:J18)</f>
        <v>21596.219999999998</v>
      </c>
      <c r="K19" s="90">
        <f>SUM(K5:K18)</f>
        <v>125977.94999999998</v>
      </c>
    </row>
    <row r="20" spans="1:11" x14ac:dyDescent="0.25">
      <c r="A20" s="333" t="s">
        <v>899</v>
      </c>
      <c r="B20" s="334"/>
      <c r="C20" s="334"/>
      <c r="D20" s="335"/>
      <c r="E20" s="335"/>
      <c r="F20" s="335"/>
      <c r="G20" s="335"/>
      <c r="H20" s="335"/>
      <c r="I20" s="335"/>
      <c r="J20" s="335"/>
      <c r="K20" s="93">
        <f>BDI!I4</f>
        <v>0.24692953096880155</v>
      </c>
    </row>
    <row r="21" spans="1:11" x14ac:dyDescent="0.25">
      <c r="A21" s="333" t="s">
        <v>900</v>
      </c>
      <c r="B21" s="334"/>
      <c r="C21" s="334"/>
      <c r="D21" s="335"/>
      <c r="E21" s="335"/>
      <c r="F21" s="335"/>
      <c r="G21" s="335"/>
      <c r="H21" s="335"/>
      <c r="I21" s="335"/>
      <c r="J21" s="335"/>
      <c r="K21" s="91">
        <f>K19*(1+K20)</f>
        <v>157085.6261059111</v>
      </c>
    </row>
    <row r="22" spans="1:11" ht="15.75" thickBot="1" x14ac:dyDescent="0.3">
      <c r="A22" s="313" t="s">
        <v>901</v>
      </c>
      <c r="B22" s="314"/>
      <c r="C22" s="314"/>
      <c r="D22" s="315"/>
      <c r="E22" s="315"/>
      <c r="F22" s="315"/>
      <c r="G22" s="315"/>
      <c r="H22" s="315"/>
      <c r="I22" s="315"/>
      <c r="J22" s="315"/>
      <c r="K22" s="92">
        <f>K21/12</f>
        <v>13090.468842159258</v>
      </c>
    </row>
    <row r="23" spans="1:11" x14ac:dyDescent="0.25">
      <c r="A23" s="316" t="s">
        <v>902</v>
      </c>
      <c r="B23" s="317"/>
      <c r="C23" s="317"/>
      <c r="D23" s="317"/>
      <c r="E23" s="317"/>
      <c r="F23" s="317"/>
      <c r="G23" s="317"/>
      <c r="H23" s="317"/>
      <c r="I23" s="317"/>
      <c r="J23" s="317"/>
      <c r="K23" s="317"/>
    </row>
    <row r="24" spans="1:11" ht="15.75" thickBot="1" x14ac:dyDescent="0.3"/>
    <row r="25" spans="1:11" x14ac:dyDescent="0.25">
      <c r="A25" s="318" t="s">
        <v>860</v>
      </c>
      <c r="B25" s="319"/>
      <c r="C25" s="319"/>
      <c r="D25" s="320"/>
      <c r="E25" s="320"/>
      <c r="F25" s="320"/>
      <c r="G25" s="320"/>
      <c r="H25" s="320"/>
      <c r="I25" s="320"/>
      <c r="J25" s="320"/>
      <c r="K25" s="321"/>
    </row>
    <row r="26" spans="1:11" ht="14.45" customHeight="1" x14ac:dyDescent="0.25">
      <c r="A26" s="322" t="s">
        <v>861</v>
      </c>
      <c r="B26" s="323"/>
      <c r="C26" s="323"/>
      <c r="D26" s="324"/>
      <c r="E26" s="324"/>
      <c r="F26" s="324"/>
      <c r="G26" s="324"/>
      <c r="H26" s="324"/>
      <c r="I26" s="324"/>
      <c r="J26" s="324"/>
      <c r="K26" s="325"/>
    </row>
    <row r="27" spans="1:11" ht="15.75" thickBot="1" x14ac:dyDescent="0.3">
      <c r="A27" s="326" t="s">
        <v>862</v>
      </c>
      <c r="B27" s="327"/>
      <c r="C27" s="327"/>
      <c r="D27" s="328"/>
      <c r="E27" s="328"/>
      <c r="F27" s="328"/>
      <c r="G27" s="328"/>
      <c r="H27" s="328"/>
      <c r="I27" s="328"/>
      <c r="J27" s="328"/>
      <c r="K27" s="329"/>
    </row>
    <row r="28" spans="1:11" ht="45" x14ac:dyDescent="0.25">
      <c r="A28" s="77" t="s">
        <v>165</v>
      </c>
      <c r="B28" s="76" t="s">
        <v>863</v>
      </c>
      <c r="C28" s="76" t="s">
        <v>864</v>
      </c>
      <c r="D28" s="75" t="s">
        <v>865</v>
      </c>
      <c r="E28" s="78" t="s">
        <v>866</v>
      </c>
      <c r="F28" s="79" t="s">
        <v>867</v>
      </c>
      <c r="G28" s="79" t="s">
        <v>868</v>
      </c>
      <c r="H28" s="79" t="s">
        <v>869</v>
      </c>
      <c r="I28" s="79" t="s">
        <v>870</v>
      </c>
      <c r="J28" s="79" t="s">
        <v>871</v>
      </c>
      <c r="K28" s="80" t="s">
        <v>872</v>
      </c>
    </row>
    <row r="29" spans="1:11" x14ac:dyDescent="0.25">
      <c r="A29" s="81">
        <v>1</v>
      </c>
      <c r="B29" s="82">
        <v>88309</v>
      </c>
      <c r="C29" s="82" t="s">
        <v>873</v>
      </c>
      <c r="D29" s="83" t="s">
        <v>874</v>
      </c>
      <c r="E29" s="84" t="s">
        <v>875</v>
      </c>
      <c r="F29" s="94">
        <f>F5</f>
        <v>26.4</v>
      </c>
      <c r="G29" s="85">
        <v>180</v>
      </c>
      <c r="H29" s="86">
        <f>(F29)*G29</f>
        <v>4752</v>
      </c>
      <c r="I29" s="86">
        <f>(F29*G29)*0.3*1.5</f>
        <v>2138.3999999999996</v>
      </c>
      <c r="J29" s="86">
        <f t="shared" ref="J29:J42" si="10">(F29*G29)*0.15*2</f>
        <v>1425.6</v>
      </c>
      <c r="K29" s="87">
        <f t="shared" ref="K29:K42" si="11">SUM(H29:J29)</f>
        <v>8316</v>
      </c>
    </row>
    <row r="30" spans="1:11" ht="30" x14ac:dyDescent="0.25">
      <c r="A30" s="81">
        <v>2</v>
      </c>
      <c r="B30" s="82">
        <v>88242</v>
      </c>
      <c r="C30" s="82" t="s">
        <v>903</v>
      </c>
      <c r="D30" s="83" t="s">
        <v>905</v>
      </c>
      <c r="E30" s="84" t="s">
        <v>875</v>
      </c>
      <c r="F30" s="94">
        <f t="shared" ref="F30:F42" si="12">F6</f>
        <v>22.38</v>
      </c>
      <c r="G30" s="85">
        <v>90</v>
      </c>
      <c r="H30" s="86">
        <f>(F30)*G30</f>
        <v>2014.1999999999998</v>
      </c>
      <c r="I30" s="86">
        <f>(F30*G30)*0.3*1.5</f>
        <v>906.38999999999987</v>
      </c>
      <c r="J30" s="86">
        <f t="shared" si="10"/>
        <v>604.25999999999988</v>
      </c>
      <c r="K30" s="87">
        <f t="shared" si="11"/>
        <v>3524.8499999999995</v>
      </c>
    </row>
    <row r="31" spans="1:11" x14ac:dyDescent="0.25">
      <c r="A31" s="81">
        <v>3</v>
      </c>
      <c r="B31" s="82">
        <v>88269</v>
      </c>
      <c r="C31" s="82" t="s">
        <v>876</v>
      </c>
      <c r="D31" s="83" t="s">
        <v>877</v>
      </c>
      <c r="E31" s="84" t="s">
        <v>875</v>
      </c>
      <c r="F31" s="94">
        <f t="shared" si="12"/>
        <v>25.32</v>
      </c>
      <c r="G31" s="85">
        <f>10*12</f>
        <v>120</v>
      </c>
      <c r="H31" s="86">
        <f>(F31)*G31</f>
        <v>3038.4</v>
      </c>
      <c r="I31" s="86">
        <f t="shared" ref="I31:I42" si="13">(F31*G31)*0.3*1.5</f>
        <v>1367.28</v>
      </c>
      <c r="J31" s="86">
        <f t="shared" si="10"/>
        <v>911.52</v>
      </c>
      <c r="K31" s="87">
        <f t="shared" si="11"/>
        <v>5317.2000000000007</v>
      </c>
    </row>
    <row r="32" spans="1:11" x14ac:dyDescent="0.25">
      <c r="A32" s="81">
        <v>4</v>
      </c>
      <c r="B32" s="82">
        <v>88325</v>
      </c>
      <c r="C32" s="82" t="s">
        <v>878</v>
      </c>
      <c r="D32" s="83" t="s">
        <v>879</v>
      </c>
      <c r="E32" s="84" t="s">
        <v>875</v>
      </c>
      <c r="F32" s="94">
        <f t="shared" si="12"/>
        <v>23.52</v>
      </c>
      <c r="G32" s="85">
        <f>10*12</f>
        <v>120</v>
      </c>
      <c r="H32" s="86">
        <f t="shared" ref="H32:H42" si="14">(F32)*G32</f>
        <v>2822.4</v>
      </c>
      <c r="I32" s="86">
        <f t="shared" si="13"/>
        <v>1270.08</v>
      </c>
      <c r="J32" s="86">
        <f t="shared" si="10"/>
        <v>846.72</v>
      </c>
      <c r="K32" s="87">
        <f t="shared" si="11"/>
        <v>4939.2</v>
      </c>
    </row>
    <row r="33" spans="1:11" x14ac:dyDescent="0.25">
      <c r="A33" s="81">
        <v>5</v>
      </c>
      <c r="B33" s="82">
        <v>88310</v>
      </c>
      <c r="C33" s="82" t="s">
        <v>880</v>
      </c>
      <c r="D33" s="83" t="s">
        <v>881</v>
      </c>
      <c r="E33" s="84" t="s">
        <v>875</v>
      </c>
      <c r="F33" s="94">
        <f t="shared" si="12"/>
        <v>28.09</v>
      </c>
      <c r="G33" s="85">
        <f>15*12</f>
        <v>180</v>
      </c>
      <c r="H33" s="86">
        <f t="shared" si="14"/>
        <v>5056.2</v>
      </c>
      <c r="I33" s="86">
        <f t="shared" si="13"/>
        <v>2275.29</v>
      </c>
      <c r="J33" s="86">
        <f t="shared" si="10"/>
        <v>1516.86</v>
      </c>
      <c r="K33" s="87">
        <f t="shared" si="11"/>
        <v>8848.35</v>
      </c>
    </row>
    <row r="34" spans="1:11" ht="30" x14ac:dyDescent="0.25">
      <c r="A34" s="81">
        <v>6</v>
      </c>
      <c r="B34" s="82">
        <v>88267</v>
      </c>
      <c r="C34" s="82" t="s">
        <v>882</v>
      </c>
      <c r="D34" s="83" t="s">
        <v>883</v>
      </c>
      <c r="E34" s="84" t="s">
        <v>875</v>
      </c>
      <c r="F34" s="94">
        <f t="shared" si="12"/>
        <v>26.39</v>
      </c>
      <c r="G34" s="85">
        <f>15*12</f>
        <v>180</v>
      </c>
      <c r="H34" s="86">
        <f t="shared" si="14"/>
        <v>4750.2</v>
      </c>
      <c r="I34" s="86">
        <f t="shared" si="13"/>
        <v>2137.59</v>
      </c>
      <c r="J34" s="86">
        <f t="shared" si="10"/>
        <v>1425.06</v>
      </c>
      <c r="K34" s="87">
        <f t="shared" si="11"/>
        <v>8312.85</v>
      </c>
    </row>
    <row r="35" spans="1:11" x14ac:dyDescent="0.25">
      <c r="A35" s="81">
        <v>7</v>
      </c>
      <c r="B35" s="161">
        <v>88273</v>
      </c>
      <c r="C35" s="82" t="s">
        <v>884</v>
      </c>
      <c r="D35" s="83" t="s">
        <v>885</v>
      </c>
      <c r="E35" s="84" t="s">
        <v>875</v>
      </c>
      <c r="F35" s="94">
        <f t="shared" si="12"/>
        <v>24.58</v>
      </c>
      <c r="G35" s="85">
        <v>150</v>
      </c>
      <c r="H35" s="86">
        <f t="shared" si="14"/>
        <v>3686.9999999999995</v>
      </c>
      <c r="I35" s="86">
        <f t="shared" si="13"/>
        <v>1659.1499999999999</v>
      </c>
      <c r="J35" s="86">
        <f t="shared" si="10"/>
        <v>1106.0999999999999</v>
      </c>
      <c r="K35" s="87">
        <f t="shared" si="11"/>
        <v>6452.25</v>
      </c>
    </row>
    <row r="36" spans="1:11" x14ac:dyDescent="0.25">
      <c r="A36" s="81">
        <v>8</v>
      </c>
      <c r="B36" s="82">
        <v>88262</v>
      </c>
      <c r="C36" s="82" t="s">
        <v>904</v>
      </c>
      <c r="D36" s="83" t="s">
        <v>906</v>
      </c>
      <c r="E36" s="84" t="s">
        <v>875</v>
      </c>
      <c r="F36" s="94">
        <f t="shared" si="12"/>
        <v>25.99</v>
      </c>
      <c r="G36" s="85">
        <v>120</v>
      </c>
      <c r="H36" s="86">
        <f t="shared" si="14"/>
        <v>3118.7999999999997</v>
      </c>
      <c r="I36" s="86">
        <f t="shared" si="13"/>
        <v>1403.4599999999998</v>
      </c>
      <c r="J36" s="86">
        <f t="shared" si="10"/>
        <v>935.63999999999987</v>
      </c>
      <c r="K36" s="87">
        <f t="shared" si="11"/>
        <v>5457.9</v>
      </c>
    </row>
    <row r="37" spans="1:11" x14ac:dyDescent="0.25">
      <c r="A37" s="81">
        <v>7</v>
      </c>
      <c r="B37" s="82">
        <v>88317</v>
      </c>
      <c r="C37" s="82" t="s">
        <v>886</v>
      </c>
      <c r="D37" s="83" t="s">
        <v>887</v>
      </c>
      <c r="E37" s="84" t="s">
        <v>875</v>
      </c>
      <c r="F37" s="94">
        <f t="shared" si="12"/>
        <v>27.15</v>
      </c>
      <c r="G37" s="85">
        <v>120</v>
      </c>
      <c r="H37" s="86">
        <f t="shared" si="14"/>
        <v>3258</v>
      </c>
      <c r="I37" s="86">
        <f t="shared" si="13"/>
        <v>1466.1</v>
      </c>
      <c r="J37" s="86">
        <f t="shared" si="10"/>
        <v>977.4</v>
      </c>
      <c r="K37" s="87">
        <f t="shared" si="11"/>
        <v>5701.5</v>
      </c>
    </row>
    <row r="38" spans="1:11" x14ac:dyDescent="0.25">
      <c r="A38" s="81">
        <v>8</v>
      </c>
      <c r="B38" s="82">
        <v>88315</v>
      </c>
      <c r="C38" s="82" t="s">
        <v>888</v>
      </c>
      <c r="D38" s="83" t="s">
        <v>889</v>
      </c>
      <c r="E38" s="84" t="s">
        <v>875</v>
      </c>
      <c r="F38" s="94">
        <f t="shared" si="12"/>
        <v>26.21</v>
      </c>
      <c r="G38" s="85">
        <v>120</v>
      </c>
      <c r="H38" s="86">
        <f t="shared" si="14"/>
        <v>3145.2000000000003</v>
      </c>
      <c r="I38" s="86">
        <f t="shared" si="13"/>
        <v>1415.3400000000001</v>
      </c>
      <c r="J38" s="86">
        <f t="shared" si="10"/>
        <v>943.56000000000006</v>
      </c>
      <c r="K38" s="87">
        <f t="shared" si="11"/>
        <v>5504.1000000000013</v>
      </c>
    </row>
    <row r="39" spans="1:11" x14ac:dyDescent="0.25">
      <c r="A39" s="81">
        <v>9</v>
      </c>
      <c r="B39" s="82">
        <v>88264</v>
      </c>
      <c r="C39" s="82" t="s">
        <v>890</v>
      </c>
      <c r="D39" s="83" t="s">
        <v>891</v>
      </c>
      <c r="E39" s="84" t="s">
        <v>875</v>
      </c>
      <c r="F39" s="94">
        <f t="shared" si="12"/>
        <v>27.47</v>
      </c>
      <c r="G39" s="85">
        <f>20*12</f>
        <v>240</v>
      </c>
      <c r="H39" s="86">
        <f t="shared" si="14"/>
        <v>6592.7999999999993</v>
      </c>
      <c r="I39" s="86">
        <f t="shared" si="13"/>
        <v>2966.7599999999993</v>
      </c>
      <c r="J39" s="86">
        <f t="shared" si="10"/>
        <v>1977.8399999999997</v>
      </c>
      <c r="K39" s="87">
        <f t="shared" si="11"/>
        <v>11537.399999999998</v>
      </c>
    </row>
    <row r="40" spans="1:11" ht="30" x14ac:dyDescent="0.25">
      <c r="A40" s="81">
        <v>10</v>
      </c>
      <c r="B40" s="82">
        <v>90775</v>
      </c>
      <c r="C40" s="82" t="s">
        <v>892</v>
      </c>
      <c r="D40" s="83" t="s">
        <v>893</v>
      </c>
      <c r="E40" s="84" t="s">
        <v>875</v>
      </c>
      <c r="F40" s="94">
        <f t="shared" si="12"/>
        <v>22.64</v>
      </c>
      <c r="G40" s="85">
        <f>10*12</f>
        <v>120</v>
      </c>
      <c r="H40" s="86">
        <f t="shared" si="14"/>
        <v>2716.8</v>
      </c>
      <c r="I40" s="86">
        <f t="shared" si="13"/>
        <v>1222.5600000000002</v>
      </c>
      <c r="J40" s="86">
        <f t="shared" si="10"/>
        <v>815.04000000000008</v>
      </c>
      <c r="K40" s="87">
        <f t="shared" si="11"/>
        <v>4754.4000000000005</v>
      </c>
    </row>
    <row r="41" spans="1:11" ht="30" x14ac:dyDescent="0.25">
      <c r="A41" s="81">
        <v>11</v>
      </c>
      <c r="B41" s="82">
        <v>88252</v>
      </c>
      <c r="C41" s="82" t="s">
        <v>894</v>
      </c>
      <c r="D41" s="83" t="s">
        <v>895</v>
      </c>
      <c r="E41" s="84" t="s">
        <v>875</v>
      </c>
      <c r="F41" s="94">
        <f t="shared" si="12"/>
        <v>21.02</v>
      </c>
      <c r="G41" s="85">
        <f>20*12</f>
        <v>240</v>
      </c>
      <c r="H41" s="86">
        <f t="shared" si="14"/>
        <v>5044.8</v>
      </c>
      <c r="I41" s="86">
        <f t="shared" si="13"/>
        <v>2270.16</v>
      </c>
      <c r="J41" s="86">
        <f t="shared" si="10"/>
        <v>1513.44</v>
      </c>
      <c r="K41" s="87">
        <f t="shared" si="11"/>
        <v>8828.4</v>
      </c>
    </row>
    <row r="42" spans="1:11" ht="30.75" thickBot="1" x14ac:dyDescent="0.3">
      <c r="A42" s="81">
        <v>12</v>
      </c>
      <c r="B42" s="82">
        <v>90768</v>
      </c>
      <c r="C42" s="82" t="s">
        <v>896</v>
      </c>
      <c r="D42" s="83" t="s">
        <v>897</v>
      </c>
      <c r="E42" s="84" t="s">
        <v>875</v>
      </c>
      <c r="F42" s="94">
        <f t="shared" si="12"/>
        <v>122.17</v>
      </c>
      <c r="G42" s="88">
        <f>15*12</f>
        <v>180</v>
      </c>
      <c r="H42" s="86">
        <f t="shared" si="14"/>
        <v>21990.6</v>
      </c>
      <c r="I42" s="86">
        <f t="shared" si="13"/>
        <v>9895.7699999999986</v>
      </c>
      <c r="J42" s="86">
        <f t="shared" si="10"/>
        <v>6597.1799999999994</v>
      </c>
      <c r="K42" s="87">
        <f t="shared" si="11"/>
        <v>38483.549999999996</v>
      </c>
    </row>
    <row r="43" spans="1:11" x14ac:dyDescent="0.25">
      <c r="A43" s="330" t="s">
        <v>898</v>
      </c>
      <c r="B43" s="331"/>
      <c r="C43" s="331"/>
      <c r="D43" s="332"/>
      <c r="E43" s="332"/>
      <c r="F43" s="332"/>
      <c r="G43" s="332"/>
      <c r="H43" s="89">
        <f>SUM(H29:H42)</f>
        <v>71987.399999999994</v>
      </c>
      <c r="I43" s="89">
        <f>SUM(I29:I42)</f>
        <v>32394.329999999994</v>
      </c>
      <c r="J43" s="89">
        <f>SUM(J29:J42)</f>
        <v>21596.219999999998</v>
      </c>
      <c r="K43" s="90">
        <f>SUM(K29:K42)</f>
        <v>125977.94999999998</v>
      </c>
    </row>
    <row r="44" spans="1:11" x14ac:dyDescent="0.25">
      <c r="A44" s="333" t="s">
        <v>899</v>
      </c>
      <c r="B44" s="334"/>
      <c r="C44" s="334"/>
      <c r="D44" s="335"/>
      <c r="E44" s="335"/>
      <c r="F44" s="335"/>
      <c r="G44" s="335"/>
      <c r="H44" s="335"/>
      <c r="I44" s="335"/>
      <c r="J44" s="335"/>
      <c r="K44" s="93">
        <f>BDI!U4</f>
        <v>0.31153727868739223</v>
      </c>
    </row>
    <row r="45" spans="1:11" x14ac:dyDescent="0.25">
      <c r="A45" s="333" t="s">
        <v>900</v>
      </c>
      <c r="B45" s="334"/>
      <c r="C45" s="334"/>
      <c r="D45" s="335"/>
      <c r="E45" s="335"/>
      <c r="F45" s="335"/>
      <c r="G45" s="335"/>
      <c r="H45" s="335"/>
      <c r="I45" s="335"/>
      <c r="J45" s="335"/>
      <c r="K45" s="91">
        <f>K43*(1+K44)</f>
        <v>165224.77771761635</v>
      </c>
    </row>
    <row r="46" spans="1:11" ht="15.75" thickBot="1" x14ac:dyDescent="0.3">
      <c r="A46" s="313" t="s">
        <v>901</v>
      </c>
      <c r="B46" s="314"/>
      <c r="C46" s="314"/>
      <c r="D46" s="315"/>
      <c r="E46" s="315"/>
      <c r="F46" s="315"/>
      <c r="G46" s="315"/>
      <c r="H46" s="315"/>
      <c r="I46" s="315"/>
      <c r="J46" s="315"/>
      <c r="K46" s="92">
        <f>K45/12</f>
        <v>13768.731476468029</v>
      </c>
    </row>
    <row r="47" spans="1:11" x14ac:dyDescent="0.25">
      <c r="A47" s="316" t="s">
        <v>902</v>
      </c>
      <c r="B47" s="317"/>
      <c r="C47" s="317"/>
      <c r="D47" s="317"/>
      <c r="E47" s="317"/>
      <c r="F47" s="317"/>
      <c r="G47" s="317"/>
      <c r="H47" s="317"/>
      <c r="I47" s="317"/>
      <c r="J47" s="317"/>
      <c r="K47" s="317"/>
    </row>
  </sheetData>
  <mergeCells count="16">
    <mergeCell ref="A45:J45"/>
    <mergeCell ref="A46:J46"/>
    <mergeCell ref="A47:K47"/>
    <mergeCell ref="A25:K25"/>
    <mergeCell ref="A26:K26"/>
    <mergeCell ref="A27:K27"/>
    <mergeCell ref="A43:G43"/>
    <mergeCell ref="A44:J44"/>
    <mergeCell ref="A22:J22"/>
    <mergeCell ref="A23:K23"/>
    <mergeCell ref="A1:K1"/>
    <mergeCell ref="A2:K2"/>
    <mergeCell ref="A3:K3"/>
    <mergeCell ref="A19:G19"/>
    <mergeCell ref="A20:J20"/>
    <mergeCell ref="A21:J21"/>
  </mergeCells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5108-CF14-4157-BE6E-33785D6FB9D3}">
  <dimension ref="A1:P15"/>
  <sheetViews>
    <sheetView workbookViewId="0">
      <selection activeCell="H16" sqref="H16"/>
    </sheetView>
  </sheetViews>
  <sheetFormatPr defaultRowHeight="15" x14ac:dyDescent="0.25"/>
  <cols>
    <col min="2" max="2" width="22.28515625" bestFit="1" customWidth="1"/>
    <col min="3" max="3" width="9.42578125" bestFit="1" customWidth="1"/>
    <col min="4" max="4" width="13.42578125" customWidth="1"/>
    <col min="5" max="5" width="18.5703125" bestFit="1" customWidth="1"/>
    <col min="6" max="6" width="14.28515625" bestFit="1" customWidth="1"/>
    <col min="11" max="11" width="22.28515625" bestFit="1" customWidth="1"/>
    <col min="12" max="12" width="9.42578125" bestFit="1" customWidth="1"/>
    <col min="13" max="13" width="7.140625" customWidth="1"/>
    <col min="14" max="14" width="18.5703125" bestFit="1" customWidth="1"/>
    <col min="15" max="15" width="14.28515625" bestFit="1" customWidth="1"/>
    <col min="16" max="16" width="12.140625" bestFit="1" customWidth="1"/>
  </cols>
  <sheetData>
    <row r="1" spans="1:16" x14ac:dyDescent="0.25">
      <c r="A1" s="341" t="s">
        <v>1090</v>
      </c>
      <c r="B1" s="341"/>
      <c r="C1" s="341"/>
      <c r="D1" s="341"/>
      <c r="E1" s="341"/>
      <c r="F1" s="341"/>
      <c r="J1" s="341" t="s">
        <v>1090</v>
      </c>
      <c r="K1" s="341"/>
      <c r="L1" s="341"/>
      <c r="M1" s="341"/>
      <c r="N1" s="341"/>
      <c r="O1" s="341"/>
    </row>
    <row r="2" spans="1:16" x14ac:dyDescent="0.25">
      <c r="A2" s="342" t="s">
        <v>1091</v>
      </c>
      <c r="B2" s="342"/>
      <c r="C2" s="342"/>
      <c r="D2" s="342"/>
      <c r="E2" s="342"/>
      <c r="F2" s="342"/>
      <c r="J2" s="342" t="s">
        <v>1091</v>
      </c>
      <c r="K2" s="342"/>
      <c r="L2" s="342"/>
      <c r="M2" s="342"/>
      <c r="N2" s="342"/>
      <c r="O2" s="342"/>
    </row>
    <row r="3" spans="1:16" x14ac:dyDescent="0.25">
      <c r="A3" s="342" t="s">
        <v>1092</v>
      </c>
      <c r="B3" s="342"/>
      <c r="C3" s="342"/>
      <c r="D3" s="342"/>
      <c r="E3" s="342"/>
      <c r="F3" s="342"/>
      <c r="J3" s="342" t="s">
        <v>1092</v>
      </c>
      <c r="K3" s="342"/>
      <c r="L3" s="342"/>
      <c r="M3" s="342"/>
      <c r="N3" s="342"/>
      <c r="O3" s="342"/>
    </row>
    <row r="4" spans="1:16" x14ac:dyDescent="0.25">
      <c r="A4" s="343" t="s">
        <v>165</v>
      </c>
      <c r="B4" s="343" t="s">
        <v>1093</v>
      </c>
      <c r="C4" s="338" t="s">
        <v>1094</v>
      </c>
      <c r="D4" s="340" t="s">
        <v>1095</v>
      </c>
      <c r="E4" s="339" t="s">
        <v>1096</v>
      </c>
      <c r="F4" s="339" t="s">
        <v>1076</v>
      </c>
      <c r="J4" s="343" t="s">
        <v>165</v>
      </c>
      <c r="K4" s="343" t="s">
        <v>1093</v>
      </c>
      <c r="L4" s="338" t="s">
        <v>1094</v>
      </c>
      <c r="M4" s="340" t="s">
        <v>1095</v>
      </c>
      <c r="N4" s="339" t="s">
        <v>1096</v>
      </c>
      <c r="O4" s="339" t="s">
        <v>1076</v>
      </c>
    </row>
    <row r="5" spans="1:16" x14ac:dyDescent="0.25">
      <c r="A5" s="343"/>
      <c r="B5" s="343"/>
      <c r="C5" s="338"/>
      <c r="D5" s="340"/>
      <c r="E5" s="339"/>
      <c r="F5" s="339"/>
      <c r="J5" s="343"/>
      <c r="K5" s="343"/>
      <c r="L5" s="338"/>
      <c r="M5" s="340"/>
      <c r="N5" s="339"/>
      <c r="O5" s="339"/>
    </row>
    <row r="6" spans="1:16" ht="25.5" x14ac:dyDescent="0.25">
      <c r="A6" s="130">
        <v>14</v>
      </c>
      <c r="B6" s="131" t="s">
        <v>1097</v>
      </c>
      <c r="C6" s="132" t="s">
        <v>1098</v>
      </c>
      <c r="D6" s="133">
        <v>12</v>
      </c>
      <c r="E6" s="134">
        <v>358.18</v>
      </c>
      <c r="F6" s="135">
        <f t="shared" ref="F6:F11" si="0">ROUND(D6*E6,2)</f>
        <v>4298.16</v>
      </c>
      <c r="J6" s="130">
        <v>14</v>
      </c>
      <c r="K6" s="131" t="s">
        <v>1097</v>
      </c>
      <c r="L6" s="132" t="s">
        <v>1098</v>
      </c>
      <c r="M6" s="133">
        <v>12</v>
      </c>
      <c r="N6" s="134">
        <v>358.18</v>
      </c>
      <c r="O6" s="135">
        <f>ROUND(M6*N6,2)</f>
        <v>4298.16</v>
      </c>
    </row>
    <row r="7" spans="1:16" ht="63.75" x14ac:dyDescent="0.25">
      <c r="A7" s="136">
        <v>15</v>
      </c>
      <c r="B7" s="137" t="s">
        <v>1099</v>
      </c>
      <c r="C7" s="132" t="s">
        <v>1098</v>
      </c>
      <c r="D7" s="133">
        <v>12</v>
      </c>
      <c r="E7" s="134">
        <v>3621</v>
      </c>
      <c r="F7" s="135">
        <f t="shared" si="0"/>
        <v>43452</v>
      </c>
      <c r="J7" s="136">
        <v>15</v>
      </c>
      <c r="K7" s="137" t="s">
        <v>1099</v>
      </c>
      <c r="L7" s="132" t="s">
        <v>1098</v>
      </c>
      <c r="M7" s="133">
        <v>12</v>
      </c>
      <c r="N7" s="134">
        <v>3621</v>
      </c>
      <c r="O7" s="135">
        <f>ROUND(M7*N7,2)</f>
        <v>43452</v>
      </c>
    </row>
    <row r="8" spans="1:16" ht="38.25" x14ac:dyDescent="0.25">
      <c r="A8" s="136" t="s">
        <v>1100</v>
      </c>
      <c r="B8" s="137" t="s">
        <v>1101</v>
      </c>
      <c r="C8" s="132" t="s">
        <v>1102</v>
      </c>
      <c r="D8" s="133">
        <v>2</v>
      </c>
      <c r="E8" s="134">
        <v>5127.95</v>
      </c>
      <c r="F8" s="135">
        <f t="shared" si="0"/>
        <v>10255.9</v>
      </c>
      <c r="J8" s="136" t="s">
        <v>1100</v>
      </c>
      <c r="K8" s="137" t="s">
        <v>1101</v>
      </c>
      <c r="L8" s="132" t="s">
        <v>1102</v>
      </c>
      <c r="M8" s="133">
        <v>2</v>
      </c>
      <c r="N8" s="134">
        <v>5127.95</v>
      </c>
      <c r="O8" s="135">
        <f>ROUND(M8*N8,2)</f>
        <v>10255.9</v>
      </c>
    </row>
    <row r="9" spans="1:16" ht="38.25" x14ac:dyDescent="0.25">
      <c r="A9" s="136">
        <v>17</v>
      </c>
      <c r="B9" s="137" t="s">
        <v>1103</v>
      </c>
      <c r="C9" s="132" t="s">
        <v>1102</v>
      </c>
      <c r="D9" s="133">
        <v>2</v>
      </c>
      <c r="E9" s="134">
        <v>5239.1499999999996</v>
      </c>
      <c r="F9" s="135">
        <f t="shared" si="0"/>
        <v>10478.299999999999</v>
      </c>
      <c r="J9" s="136">
        <v>17</v>
      </c>
      <c r="K9" s="137" t="s">
        <v>1103</v>
      </c>
      <c r="L9" s="132" t="s">
        <v>1102</v>
      </c>
      <c r="M9" s="133">
        <v>2</v>
      </c>
      <c r="N9" s="134">
        <v>5239.1499999999996</v>
      </c>
      <c r="O9" s="135">
        <f>ROUND(M9*N9,2)</f>
        <v>10478.299999999999</v>
      </c>
    </row>
    <row r="10" spans="1:16" ht="38.25" x14ac:dyDescent="0.25">
      <c r="A10" s="130">
        <v>18</v>
      </c>
      <c r="B10" s="137" t="s">
        <v>1105</v>
      </c>
      <c r="C10" s="132" t="s">
        <v>1102</v>
      </c>
      <c r="D10" s="133">
        <v>2</v>
      </c>
      <c r="E10" s="134">
        <v>7467.04</v>
      </c>
      <c r="F10" s="135">
        <f t="shared" si="0"/>
        <v>14934.08</v>
      </c>
      <c r="J10" s="130">
        <v>18</v>
      </c>
      <c r="K10" s="137" t="s">
        <v>1105</v>
      </c>
      <c r="L10" s="132" t="s">
        <v>1102</v>
      </c>
      <c r="M10" s="133">
        <v>2</v>
      </c>
      <c r="N10" s="134">
        <v>7467.04</v>
      </c>
      <c r="O10" s="135">
        <f>N10*M10</f>
        <v>14934.08</v>
      </c>
    </row>
    <row r="11" spans="1:16" ht="38.25" x14ac:dyDescent="0.25">
      <c r="A11" s="136">
        <v>19</v>
      </c>
      <c r="B11" s="137" t="s">
        <v>1132</v>
      </c>
      <c r="C11" s="132" t="s">
        <v>1102</v>
      </c>
      <c r="D11" s="133">
        <v>2</v>
      </c>
      <c r="E11" s="134">
        <v>7604.8</v>
      </c>
      <c r="F11" s="135">
        <f t="shared" si="0"/>
        <v>15209.6</v>
      </c>
      <c r="J11" s="136">
        <v>19</v>
      </c>
      <c r="K11" s="137" t="s">
        <v>1132</v>
      </c>
      <c r="L11" s="132" t="s">
        <v>1102</v>
      </c>
      <c r="M11" s="133">
        <v>2</v>
      </c>
      <c r="N11" s="134">
        <v>7604.8</v>
      </c>
      <c r="O11" s="135">
        <f>N11*M11</f>
        <v>15209.6</v>
      </c>
    </row>
    <row r="12" spans="1:16" x14ac:dyDescent="0.25">
      <c r="A12" s="336" t="s">
        <v>1104</v>
      </c>
      <c r="B12" s="336"/>
      <c r="C12" s="336"/>
      <c r="D12" s="336"/>
      <c r="E12" s="336"/>
      <c r="F12" s="163">
        <f>SUM(F6:F11)</f>
        <v>98628.040000000008</v>
      </c>
      <c r="J12" s="336" t="s">
        <v>1104</v>
      </c>
      <c r="K12" s="336"/>
      <c r="L12" s="336"/>
      <c r="M12" s="336"/>
      <c r="N12" s="336"/>
      <c r="O12" s="163">
        <f>SUM(O6:O11)</f>
        <v>98628.040000000008</v>
      </c>
    </row>
    <row r="13" spans="1:16" x14ac:dyDescent="0.25">
      <c r="A13" s="337" t="s">
        <v>1106</v>
      </c>
      <c r="B13" s="337"/>
      <c r="C13" s="337"/>
      <c r="D13" s="337"/>
      <c r="E13" s="337"/>
      <c r="F13" s="164">
        <f>'BDI - MERO FORNECIMENTO'!I4</f>
        <v>0.12615584915412548</v>
      </c>
      <c r="J13" s="337" t="s">
        <v>1108</v>
      </c>
      <c r="K13" s="337"/>
      <c r="L13" s="337"/>
      <c r="M13" s="337"/>
      <c r="N13" s="337"/>
      <c r="O13" s="164">
        <f>'BDI - MERO FORNECIMENTO'!U4</f>
        <v>0.18132951623298865</v>
      </c>
    </row>
    <row r="14" spans="1:16" x14ac:dyDescent="0.25">
      <c r="A14" s="337" t="s">
        <v>1107</v>
      </c>
      <c r="B14" s="337"/>
      <c r="C14" s="337"/>
      <c r="D14" s="337"/>
      <c r="E14" s="337"/>
      <c r="F14" s="163">
        <f>ROUND(F12*(1+F13),2)</f>
        <v>111070.54</v>
      </c>
      <c r="J14" s="337" t="s">
        <v>1109</v>
      </c>
      <c r="K14" s="337"/>
      <c r="L14" s="337"/>
      <c r="M14" s="337"/>
      <c r="N14" s="337"/>
      <c r="O14" s="163">
        <f>ROUND(O12*(1+O13),2)</f>
        <v>116512.21</v>
      </c>
      <c r="P14" s="152"/>
    </row>
    <row r="15" spans="1:16" x14ac:dyDescent="0.25">
      <c r="F15" s="152"/>
    </row>
  </sheetData>
  <mergeCells count="24">
    <mergeCell ref="J14:N14"/>
    <mergeCell ref="A14:E14"/>
    <mergeCell ref="J1:O1"/>
    <mergeCell ref="J2:O2"/>
    <mergeCell ref="J3:O3"/>
    <mergeCell ref="J4:J5"/>
    <mergeCell ref="K4:K5"/>
    <mergeCell ref="L4:L5"/>
    <mergeCell ref="M4:M5"/>
    <mergeCell ref="A1:F1"/>
    <mergeCell ref="A2:F2"/>
    <mergeCell ref="A3:F3"/>
    <mergeCell ref="A4:A5"/>
    <mergeCell ref="B4:B5"/>
    <mergeCell ref="A12:E12"/>
    <mergeCell ref="A13:E13"/>
    <mergeCell ref="J12:N12"/>
    <mergeCell ref="J13:N13"/>
    <mergeCell ref="C4:C5"/>
    <mergeCell ref="N4:N5"/>
    <mergeCell ref="O4:O5"/>
    <mergeCell ref="D4:D5"/>
    <mergeCell ref="E4:E5"/>
    <mergeCell ref="F4:F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8BD9D-669D-4801-8048-29090E072E5D}">
  <dimension ref="B4:L132"/>
  <sheetViews>
    <sheetView topLeftCell="A103" workbookViewId="0">
      <selection activeCell="C135" sqref="C135"/>
    </sheetView>
  </sheetViews>
  <sheetFormatPr defaultColWidth="9.140625" defaultRowHeight="15" x14ac:dyDescent="0.25"/>
  <cols>
    <col min="1" max="1" width="4.85546875" customWidth="1"/>
    <col min="2" max="2" width="37.5703125" customWidth="1"/>
    <col min="4" max="4" width="55.85546875" customWidth="1"/>
    <col min="5" max="5" width="12.140625" bestFit="1" customWidth="1"/>
    <col min="6" max="6" width="11.42578125" bestFit="1" customWidth="1"/>
    <col min="9" max="9" width="55.85546875" customWidth="1"/>
    <col min="10" max="10" width="12.140625" bestFit="1" customWidth="1"/>
    <col min="11" max="11" width="11.42578125" bestFit="1" customWidth="1"/>
  </cols>
  <sheetData>
    <row r="4" spans="3:11" x14ac:dyDescent="0.25">
      <c r="C4" s="169" t="s">
        <v>210</v>
      </c>
      <c r="D4" s="169"/>
      <c r="E4" s="169"/>
      <c r="F4" s="169"/>
      <c r="H4" s="169" t="s">
        <v>210</v>
      </c>
      <c r="I4" s="169"/>
      <c r="J4" s="169"/>
      <c r="K4" s="169"/>
    </row>
    <row r="5" spans="3:11" x14ac:dyDescent="0.25">
      <c r="C5" s="170" t="s">
        <v>35</v>
      </c>
      <c r="D5" s="170"/>
      <c r="E5" s="170"/>
      <c r="F5" s="170"/>
      <c r="H5" s="170" t="s">
        <v>35</v>
      </c>
      <c r="I5" s="170"/>
      <c r="J5" s="170"/>
      <c r="K5" s="170"/>
    </row>
    <row r="6" spans="3:11" x14ac:dyDescent="0.25">
      <c r="C6" s="171" t="s">
        <v>36</v>
      </c>
      <c r="D6" s="171"/>
      <c r="E6" s="171"/>
      <c r="F6" s="171"/>
      <c r="H6" s="171" t="s">
        <v>36</v>
      </c>
      <c r="I6" s="171"/>
      <c r="J6" s="171"/>
      <c r="K6" s="171"/>
    </row>
    <row r="7" spans="3:11" x14ac:dyDescent="0.25">
      <c r="C7" s="6" t="s">
        <v>37</v>
      </c>
      <c r="D7" s="7" t="s">
        <v>38</v>
      </c>
      <c r="E7" s="172"/>
      <c r="F7" s="173"/>
      <c r="H7" s="6" t="s">
        <v>37</v>
      </c>
      <c r="I7" s="7" t="s">
        <v>38</v>
      </c>
      <c r="J7" s="172"/>
      <c r="K7" s="173"/>
    </row>
    <row r="8" spans="3:11" x14ac:dyDescent="0.25">
      <c r="C8" s="6" t="s">
        <v>39</v>
      </c>
      <c r="D8" s="7" t="s">
        <v>40</v>
      </c>
      <c r="E8" s="176" t="s">
        <v>1151</v>
      </c>
      <c r="F8" s="176"/>
      <c r="H8" s="6" t="s">
        <v>39</v>
      </c>
      <c r="I8" s="7" t="s">
        <v>40</v>
      </c>
      <c r="J8" s="176" t="s">
        <v>1151</v>
      </c>
      <c r="K8" s="176"/>
    </row>
    <row r="9" spans="3:11" ht="25.5" x14ac:dyDescent="0.25">
      <c r="C9" s="8" t="s">
        <v>42</v>
      </c>
      <c r="D9" s="9" t="s">
        <v>43</v>
      </c>
      <c r="E9" s="45" t="s">
        <v>154</v>
      </c>
      <c r="F9" s="156">
        <v>2025</v>
      </c>
      <c r="H9" s="8" t="s">
        <v>42</v>
      </c>
      <c r="I9" s="9" t="s">
        <v>43</v>
      </c>
      <c r="J9" s="45" t="s">
        <v>154</v>
      </c>
      <c r="K9" s="46">
        <v>2025</v>
      </c>
    </row>
    <row r="10" spans="3:11" x14ac:dyDescent="0.25">
      <c r="C10" s="6" t="s">
        <v>44</v>
      </c>
      <c r="D10" s="7" t="s">
        <v>45</v>
      </c>
      <c r="E10" s="172" t="s">
        <v>46</v>
      </c>
      <c r="F10" s="173"/>
      <c r="H10" s="6" t="s">
        <v>44</v>
      </c>
      <c r="I10" s="7" t="s">
        <v>45</v>
      </c>
      <c r="J10" s="172" t="s">
        <v>46</v>
      </c>
      <c r="K10" s="173"/>
    </row>
    <row r="11" spans="3:11" x14ac:dyDescent="0.25">
      <c r="C11" s="6" t="s">
        <v>47</v>
      </c>
      <c r="D11" s="7" t="s">
        <v>48</v>
      </c>
      <c r="E11" s="172" t="s">
        <v>49</v>
      </c>
      <c r="F11" s="173"/>
      <c r="H11" s="6" t="s">
        <v>47</v>
      </c>
      <c r="I11" s="7" t="s">
        <v>48</v>
      </c>
      <c r="J11" s="172" t="s">
        <v>49</v>
      </c>
      <c r="K11" s="173"/>
    </row>
    <row r="12" spans="3:11" x14ac:dyDescent="0.25">
      <c r="C12" s="6" t="s">
        <v>50</v>
      </c>
      <c r="D12" s="7" t="s">
        <v>51</v>
      </c>
      <c r="E12" s="174">
        <v>220</v>
      </c>
      <c r="F12" s="175"/>
      <c r="H12" s="6" t="s">
        <v>50</v>
      </c>
      <c r="I12" s="7" t="s">
        <v>51</v>
      </c>
      <c r="J12" s="174">
        <v>220</v>
      </c>
      <c r="K12" s="175"/>
    </row>
    <row r="13" spans="3:11" x14ac:dyDescent="0.25">
      <c r="C13" s="6" t="s">
        <v>52</v>
      </c>
      <c r="D13" s="7" t="s">
        <v>53</v>
      </c>
      <c r="E13" s="172">
        <v>12</v>
      </c>
      <c r="F13" s="173"/>
      <c r="H13" s="6" t="s">
        <v>52</v>
      </c>
      <c r="I13" s="7" t="s">
        <v>53</v>
      </c>
      <c r="J13" s="172">
        <v>12</v>
      </c>
      <c r="K13" s="173"/>
    </row>
    <row r="14" spans="3:11" x14ac:dyDescent="0.25">
      <c r="C14" s="179" t="s">
        <v>195</v>
      </c>
      <c r="D14" s="179"/>
      <c r="E14" s="179"/>
      <c r="F14" s="179"/>
      <c r="H14" s="179" t="s">
        <v>195</v>
      </c>
      <c r="I14" s="179"/>
      <c r="J14" s="179"/>
      <c r="K14" s="179"/>
    </row>
    <row r="15" spans="3:11" x14ac:dyDescent="0.25">
      <c r="C15" s="180" t="s">
        <v>54</v>
      </c>
      <c r="D15" s="181"/>
      <c r="E15" s="181"/>
      <c r="F15" s="182"/>
      <c r="H15" s="180" t="s">
        <v>54</v>
      </c>
      <c r="I15" s="181"/>
      <c r="J15" s="181"/>
      <c r="K15" s="182"/>
    </row>
    <row r="16" spans="3:11" x14ac:dyDescent="0.25">
      <c r="C16" s="176" t="s">
        <v>55</v>
      </c>
      <c r="D16" s="176"/>
      <c r="E16" s="176"/>
      <c r="F16" s="176"/>
      <c r="H16" s="176" t="s">
        <v>55</v>
      </c>
      <c r="I16" s="176"/>
      <c r="J16" s="176"/>
      <c r="K16" s="176"/>
    </row>
    <row r="17" spans="3:11" x14ac:dyDescent="0.25">
      <c r="C17" s="6">
        <v>1</v>
      </c>
      <c r="D17" s="7" t="s">
        <v>56</v>
      </c>
      <c r="E17" s="172" t="s">
        <v>157</v>
      </c>
      <c r="F17" s="173" t="s">
        <v>57</v>
      </c>
      <c r="H17" s="6">
        <v>1</v>
      </c>
      <c r="I17" s="7" t="s">
        <v>56</v>
      </c>
      <c r="J17" s="172" t="s">
        <v>157</v>
      </c>
      <c r="K17" s="173" t="s">
        <v>57</v>
      </c>
    </row>
    <row r="18" spans="3:11" x14ac:dyDescent="0.25">
      <c r="C18" s="6"/>
      <c r="D18" s="10" t="s">
        <v>194</v>
      </c>
      <c r="E18" s="172">
        <v>220</v>
      </c>
      <c r="F18" s="173">
        <v>1</v>
      </c>
      <c r="H18" s="6"/>
      <c r="I18" s="10" t="s">
        <v>194</v>
      </c>
      <c r="J18" s="172">
        <v>220</v>
      </c>
      <c r="K18" s="173">
        <v>1</v>
      </c>
    </row>
    <row r="19" spans="3:11" ht="39" customHeight="1" x14ac:dyDescent="0.25">
      <c r="C19" s="6">
        <v>2</v>
      </c>
      <c r="D19" s="11" t="s">
        <v>58</v>
      </c>
      <c r="E19" s="177" t="s">
        <v>196</v>
      </c>
      <c r="F19" s="178"/>
      <c r="H19" s="6">
        <v>2</v>
      </c>
      <c r="I19" s="11" t="s">
        <v>58</v>
      </c>
      <c r="J19" s="177" t="s">
        <v>196</v>
      </c>
      <c r="K19" s="178"/>
    </row>
    <row r="20" spans="3:11" x14ac:dyDescent="0.25">
      <c r="C20" s="176" t="s">
        <v>59</v>
      </c>
      <c r="D20" s="176"/>
      <c r="E20" s="176"/>
      <c r="F20" s="176"/>
      <c r="H20" s="176" t="s">
        <v>59</v>
      </c>
      <c r="I20" s="176"/>
      <c r="J20" s="176"/>
      <c r="K20" s="176"/>
    </row>
    <row r="21" spans="3:11" x14ac:dyDescent="0.25">
      <c r="C21" s="6">
        <v>3</v>
      </c>
      <c r="D21" s="187" t="s">
        <v>1143</v>
      </c>
      <c r="E21" s="188"/>
      <c r="F21" s="31">
        <v>3790.67</v>
      </c>
      <c r="H21" s="6">
        <v>3</v>
      </c>
      <c r="I21" s="183" t="s">
        <v>1143</v>
      </c>
      <c r="J21" s="184"/>
      <c r="K21" s="31">
        <v>3790.67</v>
      </c>
    </row>
    <row r="22" spans="3:11" x14ac:dyDescent="0.25">
      <c r="C22" s="6">
        <v>4</v>
      </c>
      <c r="D22" s="183" t="s">
        <v>61</v>
      </c>
      <c r="E22" s="184"/>
      <c r="F22" s="32" t="s">
        <v>154</v>
      </c>
      <c r="H22" s="6">
        <v>4</v>
      </c>
      <c r="I22" s="183" t="s">
        <v>61</v>
      </c>
      <c r="J22" s="184"/>
      <c r="K22" s="32" t="s">
        <v>154</v>
      </c>
    </row>
    <row r="23" spans="3:11" x14ac:dyDescent="0.25">
      <c r="C23" s="6">
        <v>5</v>
      </c>
      <c r="D23" s="183" t="s">
        <v>62</v>
      </c>
      <c r="E23" s="184"/>
      <c r="F23" s="33">
        <v>45658</v>
      </c>
      <c r="H23" s="6">
        <v>5</v>
      </c>
      <c r="I23" s="183" t="s">
        <v>62</v>
      </c>
      <c r="J23" s="184"/>
      <c r="K23" s="33">
        <v>45658</v>
      </c>
    </row>
    <row r="24" spans="3:11" x14ac:dyDescent="0.25">
      <c r="C24" s="172"/>
      <c r="D24" s="185"/>
      <c r="E24" s="185"/>
      <c r="F24" s="173"/>
      <c r="H24" s="172"/>
      <c r="I24" s="185"/>
      <c r="J24" s="185"/>
      <c r="K24" s="173"/>
    </row>
    <row r="25" spans="3:11" x14ac:dyDescent="0.25">
      <c r="C25" s="186" t="s">
        <v>63</v>
      </c>
      <c r="D25" s="186"/>
      <c r="E25" s="186"/>
      <c r="F25" s="186"/>
      <c r="H25" s="186" t="s">
        <v>63</v>
      </c>
      <c r="I25" s="186"/>
      <c r="J25" s="186"/>
      <c r="K25" s="186"/>
    </row>
    <row r="26" spans="3:11" x14ac:dyDescent="0.25">
      <c r="C26" s="196"/>
      <c r="D26" s="197"/>
      <c r="E26" s="197"/>
      <c r="F26" s="198"/>
      <c r="H26" s="196"/>
      <c r="I26" s="197"/>
      <c r="J26" s="197"/>
      <c r="K26" s="198"/>
    </row>
    <row r="27" spans="3:11" x14ac:dyDescent="0.25">
      <c r="C27" s="12">
        <v>1</v>
      </c>
      <c r="D27" s="199" t="s">
        <v>64</v>
      </c>
      <c r="E27" s="200"/>
      <c r="F27" s="12" t="s">
        <v>65</v>
      </c>
      <c r="H27" s="12">
        <v>1</v>
      </c>
      <c r="I27" s="199" t="s">
        <v>64</v>
      </c>
      <c r="J27" s="200"/>
      <c r="K27" s="12" t="s">
        <v>65</v>
      </c>
    </row>
    <row r="28" spans="3:11" x14ac:dyDescent="0.25">
      <c r="C28" s="6" t="s">
        <v>66</v>
      </c>
      <c r="D28" s="7" t="s">
        <v>67</v>
      </c>
      <c r="E28" s="34">
        <v>1</v>
      </c>
      <c r="F28" s="47">
        <f>F21</f>
        <v>3790.67</v>
      </c>
      <c r="H28" s="6" t="s">
        <v>66</v>
      </c>
      <c r="I28" s="7" t="s">
        <v>67</v>
      </c>
      <c r="J28" s="34">
        <v>1</v>
      </c>
      <c r="K28" s="47">
        <f>K21</f>
        <v>3790.67</v>
      </c>
    </row>
    <row r="29" spans="3:11" x14ac:dyDescent="0.25">
      <c r="C29" s="6" t="s">
        <v>39</v>
      </c>
      <c r="D29" s="7" t="s">
        <v>68</v>
      </c>
      <c r="E29" s="14">
        <v>0.3</v>
      </c>
      <c r="F29" s="15">
        <f>F28*E29</f>
        <v>1137.201</v>
      </c>
      <c r="H29" s="6" t="s">
        <v>39</v>
      </c>
      <c r="I29" s="7" t="s">
        <v>68</v>
      </c>
      <c r="J29" s="14">
        <v>0.3</v>
      </c>
      <c r="K29" s="15">
        <f>K28*J29</f>
        <v>1137.201</v>
      </c>
    </row>
    <row r="30" spans="3:11" x14ac:dyDescent="0.25">
      <c r="C30" s="6" t="s">
        <v>42</v>
      </c>
      <c r="D30" s="7" t="s">
        <v>69</v>
      </c>
      <c r="E30" s="14">
        <v>0</v>
      </c>
      <c r="F30" s="16">
        <v>0</v>
      </c>
      <c r="H30" s="6" t="s">
        <v>42</v>
      </c>
      <c r="I30" s="7" t="s">
        <v>69</v>
      </c>
      <c r="J30" s="14">
        <v>0</v>
      </c>
      <c r="K30" s="16">
        <v>0</v>
      </c>
    </row>
    <row r="31" spans="3:11" x14ac:dyDescent="0.25">
      <c r="C31" s="6" t="s">
        <v>44</v>
      </c>
      <c r="D31" s="7" t="s">
        <v>70</v>
      </c>
      <c r="E31" s="14">
        <v>0</v>
      </c>
      <c r="F31" s="16">
        <v>0</v>
      </c>
      <c r="H31" s="6" t="s">
        <v>44</v>
      </c>
      <c r="I31" s="7" t="s">
        <v>70</v>
      </c>
      <c r="J31" s="14">
        <v>0</v>
      </c>
      <c r="K31" s="16">
        <v>0</v>
      </c>
    </row>
    <row r="32" spans="3:11" x14ac:dyDescent="0.25">
      <c r="C32" s="6" t="s">
        <v>47</v>
      </c>
      <c r="D32" s="7" t="s">
        <v>71</v>
      </c>
      <c r="E32" s="14">
        <v>0</v>
      </c>
      <c r="F32" s="16">
        <v>0</v>
      </c>
      <c r="H32" s="6" t="s">
        <v>47</v>
      </c>
      <c r="I32" s="7" t="s">
        <v>71</v>
      </c>
      <c r="J32" s="14">
        <v>0</v>
      </c>
      <c r="K32" s="16">
        <v>0</v>
      </c>
    </row>
    <row r="33" spans="3:11" x14ac:dyDescent="0.25">
      <c r="C33" s="6" t="s">
        <v>50</v>
      </c>
      <c r="D33" s="155" t="s">
        <v>1144</v>
      </c>
      <c r="E33" s="34">
        <v>1</v>
      </c>
      <c r="F33" s="53">
        <v>73.989999999999995</v>
      </c>
      <c r="H33" s="6" t="s">
        <v>50</v>
      </c>
      <c r="I33" s="7" t="s">
        <v>1144</v>
      </c>
      <c r="J33" s="34">
        <v>1</v>
      </c>
      <c r="K33" s="53">
        <v>73.989999999999995</v>
      </c>
    </row>
    <row r="34" spans="3:11" x14ac:dyDescent="0.25">
      <c r="C34" s="6" t="s">
        <v>52</v>
      </c>
      <c r="D34" s="7" t="s">
        <v>72</v>
      </c>
      <c r="E34" s="14">
        <v>0</v>
      </c>
      <c r="F34" s="16">
        <v>0</v>
      </c>
      <c r="H34" s="6" t="s">
        <v>52</v>
      </c>
      <c r="I34" s="7" t="s">
        <v>72</v>
      </c>
      <c r="J34" s="14">
        <v>0</v>
      </c>
      <c r="K34" s="16">
        <v>0</v>
      </c>
    </row>
    <row r="35" spans="3:11" x14ac:dyDescent="0.25">
      <c r="C35" s="199" t="s">
        <v>73</v>
      </c>
      <c r="D35" s="201"/>
      <c r="E35" s="200"/>
      <c r="F35" s="17">
        <f>SUM(F28:F34)</f>
        <v>5001.8609999999999</v>
      </c>
      <c r="H35" s="199" t="s">
        <v>73</v>
      </c>
      <c r="I35" s="201"/>
      <c r="J35" s="200"/>
      <c r="K35" s="17">
        <f>SUM(K28:K34)</f>
        <v>5001.8609999999999</v>
      </c>
    </row>
    <row r="36" spans="3:11" x14ac:dyDescent="0.25">
      <c r="C36" s="189"/>
      <c r="D36" s="189"/>
      <c r="E36" s="189"/>
      <c r="F36" s="189"/>
      <c r="H36" s="189"/>
      <c r="I36" s="189"/>
      <c r="J36" s="189"/>
      <c r="K36" s="189"/>
    </row>
    <row r="37" spans="3:11" x14ac:dyDescent="0.25">
      <c r="C37" s="190" t="s">
        <v>74</v>
      </c>
      <c r="D37" s="191"/>
      <c r="E37" s="191"/>
      <c r="F37" s="192"/>
      <c r="H37" s="190" t="s">
        <v>74</v>
      </c>
      <c r="I37" s="191"/>
      <c r="J37" s="191"/>
      <c r="K37" s="192"/>
    </row>
    <row r="38" spans="3:11" x14ac:dyDescent="0.25">
      <c r="C38" s="193"/>
      <c r="D38" s="194"/>
      <c r="E38" s="194"/>
      <c r="F38" s="195"/>
      <c r="H38" s="193"/>
      <c r="I38" s="194"/>
      <c r="J38" s="194"/>
      <c r="K38" s="195"/>
    </row>
    <row r="39" spans="3:11" x14ac:dyDescent="0.25">
      <c r="C39" s="18" t="s">
        <v>75</v>
      </c>
      <c r="D39" s="19" t="s">
        <v>76</v>
      </c>
      <c r="E39" s="18" t="s">
        <v>77</v>
      </c>
      <c r="F39" s="18" t="s">
        <v>65</v>
      </c>
      <c r="H39" s="18" t="s">
        <v>75</v>
      </c>
      <c r="I39" s="19" t="s">
        <v>76</v>
      </c>
      <c r="J39" s="18" t="s">
        <v>77</v>
      </c>
      <c r="K39" s="18" t="s">
        <v>65</v>
      </c>
    </row>
    <row r="40" spans="3:11" x14ac:dyDescent="0.25">
      <c r="C40" s="20" t="s">
        <v>66</v>
      </c>
      <c r="D40" s="21" t="s">
        <v>78</v>
      </c>
      <c r="E40" s="44">
        <f>1/12</f>
        <v>8.3333333333333329E-2</v>
      </c>
      <c r="F40" s="20">
        <f>F35*E40</f>
        <v>416.82174999999995</v>
      </c>
      <c r="H40" s="20" t="s">
        <v>66</v>
      </c>
      <c r="I40" s="21" t="s">
        <v>78</v>
      </c>
      <c r="J40" s="44">
        <f>1/12</f>
        <v>8.3333333333333329E-2</v>
      </c>
      <c r="K40" s="20">
        <f>K35*J40</f>
        <v>416.82174999999995</v>
      </c>
    </row>
    <row r="41" spans="3:11" x14ac:dyDescent="0.25">
      <c r="C41" s="20" t="s">
        <v>39</v>
      </c>
      <c r="D41" s="21" t="s">
        <v>79</v>
      </c>
      <c r="E41" s="28">
        <f>(1/12)+(1/(12*3))</f>
        <v>0.1111111111111111</v>
      </c>
      <c r="F41" s="20">
        <f>E41*F35</f>
        <v>555.76233333333334</v>
      </c>
      <c r="H41" s="20" t="s">
        <v>39</v>
      </c>
      <c r="I41" s="21" t="s">
        <v>79</v>
      </c>
      <c r="J41" s="28">
        <f>(1/12)+(1/(12*3))</f>
        <v>0.1111111111111111</v>
      </c>
      <c r="K41" s="20">
        <f>J41*K35</f>
        <v>555.76233333333334</v>
      </c>
    </row>
    <row r="42" spans="3:11" x14ac:dyDescent="0.25">
      <c r="C42" s="205" t="s">
        <v>80</v>
      </c>
      <c r="D42" s="206"/>
      <c r="E42" s="207"/>
      <c r="F42" s="22">
        <f>SUM(F40:F41)</f>
        <v>972.5840833333333</v>
      </c>
      <c r="H42" s="205" t="s">
        <v>80</v>
      </c>
      <c r="I42" s="206"/>
      <c r="J42" s="207"/>
      <c r="K42" s="22">
        <f>SUM(K40:K41)</f>
        <v>972.5840833333333</v>
      </c>
    </row>
    <row r="43" spans="3:11" x14ac:dyDescent="0.25">
      <c r="C43" s="193"/>
      <c r="D43" s="194"/>
      <c r="E43" s="194"/>
      <c r="F43" s="195"/>
      <c r="H43" s="193"/>
      <c r="I43" s="194"/>
      <c r="J43" s="194"/>
      <c r="K43" s="195"/>
    </row>
    <row r="44" spans="3:11" x14ac:dyDescent="0.25">
      <c r="C44" s="22" t="s">
        <v>81</v>
      </c>
      <c r="D44" s="23" t="s">
        <v>82</v>
      </c>
      <c r="E44" s="22" t="s">
        <v>77</v>
      </c>
      <c r="F44" s="22" t="s">
        <v>65</v>
      </c>
      <c r="H44" s="22" t="s">
        <v>81</v>
      </c>
      <c r="I44" s="23" t="s">
        <v>82</v>
      </c>
      <c r="J44" s="22" t="s">
        <v>77</v>
      </c>
      <c r="K44" s="22" t="s">
        <v>65</v>
      </c>
    </row>
    <row r="45" spans="3:11" x14ac:dyDescent="0.25">
      <c r="C45" s="24" t="s">
        <v>66</v>
      </c>
      <c r="D45" s="25" t="s">
        <v>83</v>
      </c>
      <c r="E45" s="35">
        <f>2/10</f>
        <v>0.2</v>
      </c>
      <c r="F45" s="20">
        <f>E45*($F$35+$F$42)</f>
        <v>1194.8890166666667</v>
      </c>
      <c r="H45" s="24" t="s">
        <v>66</v>
      </c>
      <c r="I45" s="25" t="s">
        <v>83</v>
      </c>
      <c r="J45" s="159">
        <v>0</v>
      </c>
      <c r="K45" s="158">
        <f>J45*($F$35+$F$42)</f>
        <v>0</v>
      </c>
    </row>
    <row r="46" spans="3:11" x14ac:dyDescent="0.25">
      <c r="C46" s="24" t="s">
        <v>39</v>
      </c>
      <c r="D46" s="25" t="s">
        <v>84</v>
      </c>
      <c r="E46" s="35">
        <f>2.5/100</f>
        <v>2.5000000000000001E-2</v>
      </c>
      <c r="F46" s="20">
        <f t="shared" ref="F46:F52" si="0">E46*($F$35+$F$42)</f>
        <v>149.36112708333334</v>
      </c>
      <c r="H46" s="24" t="s">
        <v>39</v>
      </c>
      <c r="I46" s="25" t="s">
        <v>84</v>
      </c>
      <c r="J46" s="35">
        <f>2.5/100</f>
        <v>2.5000000000000001E-2</v>
      </c>
      <c r="K46" s="20">
        <f t="shared" ref="K46:K52" si="1">J46*($F$35+$F$42)</f>
        <v>149.36112708333334</v>
      </c>
    </row>
    <row r="47" spans="3:11" x14ac:dyDescent="0.25">
      <c r="C47" s="24" t="s">
        <v>42</v>
      </c>
      <c r="D47" s="25" t="s">
        <v>85</v>
      </c>
      <c r="E47" s="35">
        <f>3/100</f>
        <v>0.03</v>
      </c>
      <c r="F47" s="20">
        <f t="shared" si="0"/>
        <v>179.2333525</v>
      </c>
      <c r="H47" s="24" t="s">
        <v>42</v>
      </c>
      <c r="I47" s="25" t="s">
        <v>85</v>
      </c>
      <c r="J47" s="35">
        <f>3/100</f>
        <v>0.03</v>
      </c>
      <c r="K47" s="20">
        <f t="shared" si="1"/>
        <v>179.2333525</v>
      </c>
    </row>
    <row r="48" spans="3:11" x14ac:dyDescent="0.25">
      <c r="C48" s="24" t="s">
        <v>44</v>
      </c>
      <c r="D48" s="25" t="s">
        <v>86</v>
      </c>
      <c r="E48" s="35">
        <f>1.5/100</f>
        <v>1.4999999999999999E-2</v>
      </c>
      <c r="F48" s="20">
        <f t="shared" si="0"/>
        <v>89.616676249999998</v>
      </c>
      <c r="H48" s="24" t="s">
        <v>44</v>
      </c>
      <c r="I48" s="25" t="s">
        <v>86</v>
      </c>
      <c r="J48" s="35">
        <f>1.5/100</f>
        <v>1.4999999999999999E-2</v>
      </c>
      <c r="K48" s="20">
        <f t="shared" si="1"/>
        <v>89.616676249999998</v>
      </c>
    </row>
    <row r="49" spans="3:12" x14ac:dyDescent="0.25">
      <c r="C49" s="24" t="s">
        <v>47</v>
      </c>
      <c r="D49" s="25" t="s">
        <v>87</v>
      </c>
      <c r="E49" s="35">
        <f>1/100</f>
        <v>0.01</v>
      </c>
      <c r="F49" s="20">
        <f t="shared" si="0"/>
        <v>59.744450833333332</v>
      </c>
      <c r="H49" s="24" t="s">
        <v>47</v>
      </c>
      <c r="I49" s="25" t="s">
        <v>87</v>
      </c>
      <c r="J49" s="35">
        <f>1/100</f>
        <v>0.01</v>
      </c>
      <c r="K49" s="20">
        <f t="shared" si="1"/>
        <v>59.744450833333332</v>
      </c>
    </row>
    <row r="50" spans="3:12" x14ac:dyDescent="0.25">
      <c r="C50" s="24" t="s">
        <v>50</v>
      </c>
      <c r="D50" s="25" t="s">
        <v>88</v>
      </c>
      <c r="E50" s="35">
        <f>0.6/100</f>
        <v>6.0000000000000001E-3</v>
      </c>
      <c r="F50" s="20">
        <f t="shared" si="0"/>
        <v>35.846670500000002</v>
      </c>
      <c r="H50" s="24" t="s">
        <v>50</v>
      </c>
      <c r="I50" s="25" t="s">
        <v>88</v>
      </c>
      <c r="J50" s="35">
        <f>0.6/100</f>
        <v>6.0000000000000001E-3</v>
      </c>
      <c r="K50" s="20">
        <f t="shared" si="1"/>
        <v>35.846670500000002</v>
      </c>
    </row>
    <row r="51" spans="3:12" x14ac:dyDescent="0.25">
      <c r="C51" s="24" t="s">
        <v>52</v>
      </c>
      <c r="D51" s="25" t="s">
        <v>89</v>
      </c>
      <c r="E51" s="35">
        <f>0.2/100</f>
        <v>2E-3</v>
      </c>
      <c r="F51" s="20">
        <f t="shared" si="0"/>
        <v>11.948890166666667</v>
      </c>
      <c r="H51" s="24" t="s">
        <v>52</v>
      </c>
      <c r="I51" s="25" t="s">
        <v>89</v>
      </c>
      <c r="J51" s="35">
        <f>0.2/100</f>
        <v>2E-3</v>
      </c>
      <c r="K51" s="20">
        <f t="shared" si="1"/>
        <v>11.948890166666667</v>
      </c>
    </row>
    <row r="52" spans="3:12" x14ac:dyDescent="0.25">
      <c r="C52" s="24" t="s">
        <v>90</v>
      </c>
      <c r="D52" s="25" t="s">
        <v>91</v>
      </c>
      <c r="E52" s="35">
        <f>8/100</f>
        <v>0.08</v>
      </c>
      <c r="F52" s="20">
        <f t="shared" si="0"/>
        <v>477.95560666666665</v>
      </c>
      <c r="H52" s="24" t="s">
        <v>90</v>
      </c>
      <c r="I52" s="25" t="s">
        <v>91</v>
      </c>
      <c r="J52" s="35">
        <f>8/100</f>
        <v>0.08</v>
      </c>
      <c r="K52" s="20">
        <f t="shared" si="1"/>
        <v>477.95560666666665</v>
      </c>
    </row>
    <row r="53" spans="3:12" x14ac:dyDescent="0.25">
      <c r="C53" s="202" t="s">
        <v>80</v>
      </c>
      <c r="D53" s="204"/>
      <c r="E53" s="36">
        <v>0.36800000000000005</v>
      </c>
      <c r="F53" s="22">
        <f>SUM(F45:F52)</f>
        <v>2198.5957906666663</v>
      </c>
      <c r="H53" s="202" t="s">
        <v>80</v>
      </c>
      <c r="I53" s="204"/>
      <c r="J53" s="36">
        <v>0.36800000000000005</v>
      </c>
      <c r="K53" s="22">
        <f>SUM(K45:K52)</f>
        <v>1003.7067739999999</v>
      </c>
    </row>
    <row r="54" spans="3:12" x14ac:dyDescent="0.25">
      <c r="C54" s="193"/>
      <c r="D54" s="194"/>
      <c r="E54" s="194"/>
      <c r="F54" s="195"/>
      <c r="H54" s="193"/>
      <c r="I54" s="194"/>
      <c r="J54" s="194"/>
      <c r="K54" s="195"/>
    </row>
    <row r="55" spans="3:12" x14ac:dyDescent="0.25">
      <c r="C55" s="22" t="s">
        <v>92</v>
      </c>
      <c r="D55" s="23" t="s">
        <v>93</v>
      </c>
      <c r="E55" s="22" t="s">
        <v>94</v>
      </c>
      <c r="F55" s="22" t="s">
        <v>65</v>
      </c>
      <c r="H55" s="22" t="s">
        <v>92</v>
      </c>
      <c r="I55" s="23" t="s">
        <v>93</v>
      </c>
      <c r="J55" s="22" t="s">
        <v>94</v>
      </c>
      <c r="K55" s="22" t="s">
        <v>65</v>
      </c>
    </row>
    <row r="56" spans="3:12" x14ac:dyDescent="0.25">
      <c r="C56" s="24" t="s">
        <v>66</v>
      </c>
      <c r="D56" s="25" t="s">
        <v>1152</v>
      </c>
      <c r="E56" s="37">
        <v>0</v>
      </c>
      <c r="F56" s="158">
        <v>0</v>
      </c>
      <c r="H56" s="24" t="s">
        <v>66</v>
      </c>
      <c r="I56" s="25" t="s">
        <v>1152</v>
      </c>
      <c r="J56" s="37">
        <v>0</v>
      </c>
      <c r="K56" s="38">
        <v>0</v>
      </c>
      <c r="L56" s="153"/>
    </row>
    <row r="57" spans="3:12" x14ac:dyDescent="0.25">
      <c r="C57" s="24" t="s">
        <v>39</v>
      </c>
      <c r="D57" s="154" t="s">
        <v>1146</v>
      </c>
      <c r="E57" s="37">
        <v>23.76</v>
      </c>
      <c r="F57" s="38">
        <f>23.76*22*0.95</f>
        <v>496.584</v>
      </c>
      <c r="H57" s="24" t="s">
        <v>39</v>
      </c>
      <c r="I57" s="25" t="s">
        <v>1146</v>
      </c>
      <c r="J57" s="37">
        <v>23.76</v>
      </c>
      <c r="K57" s="38">
        <f>23.76*22*0.95</f>
        <v>496.584</v>
      </c>
    </row>
    <row r="58" spans="3:12" x14ac:dyDescent="0.25">
      <c r="C58" s="24" t="s">
        <v>42</v>
      </c>
      <c r="D58" s="154" t="s">
        <v>1147</v>
      </c>
      <c r="E58" s="37">
        <v>164.16</v>
      </c>
      <c r="F58" s="20">
        <f>E58*1</f>
        <v>164.16</v>
      </c>
      <c r="H58" s="24" t="s">
        <v>42</v>
      </c>
      <c r="I58" s="25" t="s">
        <v>1147</v>
      </c>
      <c r="J58" s="37">
        <v>164.16</v>
      </c>
      <c r="K58" s="20">
        <f>J58*1</f>
        <v>164.16</v>
      </c>
    </row>
    <row r="59" spans="3:12" x14ac:dyDescent="0.25">
      <c r="C59" s="24" t="s">
        <v>44</v>
      </c>
      <c r="D59" s="155" t="s">
        <v>1148</v>
      </c>
      <c r="E59" s="37">
        <v>59</v>
      </c>
      <c r="F59" s="20">
        <f>E59</f>
        <v>59</v>
      </c>
      <c r="H59" s="24" t="s">
        <v>44</v>
      </c>
      <c r="I59" s="7" t="s">
        <v>160</v>
      </c>
      <c r="J59" s="157">
        <v>59</v>
      </c>
      <c r="K59" s="20">
        <f>J59</f>
        <v>59</v>
      </c>
    </row>
    <row r="60" spans="3:12" x14ac:dyDescent="0.25">
      <c r="C60" s="24" t="s">
        <v>47</v>
      </c>
      <c r="D60" s="25" t="s">
        <v>97</v>
      </c>
      <c r="E60" s="37"/>
      <c r="F60" s="20">
        <v>0</v>
      </c>
      <c r="H60" s="24" t="s">
        <v>47</v>
      </c>
      <c r="I60" s="25" t="s">
        <v>97</v>
      </c>
      <c r="J60" s="37"/>
      <c r="K60" s="20">
        <v>0</v>
      </c>
    </row>
    <row r="61" spans="3:12" x14ac:dyDescent="0.25">
      <c r="C61" s="202" t="s">
        <v>98</v>
      </c>
      <c r="D61" s="203"/>
      <c r="E61" s="204"/>
      <c r="F61" s="22">
        <f>SUM(F56:F60)</f>
        <v>719.74400000000003</v>
      </c>
      <c r="H61" s="202" t="s">
        <v>98</v>
      </c>
      <c r="I61" s="203"/>
      <c r="J61" s="204"/>
      <c r="K61" s="22">
        <f>SUM(K56:K60)</f>
        <v>719.74400000000003</v>
      </c>
    </row>
    <row r="62" spans="3:12" x14ac:dyDescent="0.25">
      <c r="C62" s="193"/>
      <c r="D62" s="194"/>
      <c r="E62" s="194"/>
      <c r="F62" s="195"/>
      <c r="H62" s="193"/>
      <c r="I62" s="194"/>
      <c r="J62" s="194"/>
      <c r="K62" s="195"/>
    </row>
    <row r="63" spans="3:12" x14ac:dyDescent="0.25">
      <c r="C63" s="202" t="s">
        <v>99</v>
      </c>
      <c r="D63" s="203"/>
      <c r="E63" s="204"/>
      <c r="F63" s="22" t="s">
        <v>65</v>
      </c>
      <c r="H63" s="202" t="s">
        <v>99</v>
      </c>
      <c r="I63" s="203"/>
      <c r="J63" s="204"/>
      <c r="K63" s="22" t="s">
        <v>65</v>
      </c>
    </row>
    <row r="64" spans="3:12" x14ac:dyDescent="0.25">
      <c r="C64" s="24" t="s">
        <v>100</v>
      </c>
      <c r="D64" s="208" t="s">
        <v>76</v>
      </c>
      <c r="E64" s="209"/>
      <c r="F64" s="20">
        <f>F42</f>
        <v>972.5840833333333</v>
      </c>
      <c r="H64" s="24" t="s">
        <v>100</v>
      </c>
      <c r="I64" s="208" t="s">
        <v>76</v>
      </c>
      <c r="J64" s="209"/>
      <c r="K64" s="20">
        <f>K42</f>
        <v>972.5840833333333</v>
      </c>
    </row>
    <row r="65" spans="2:11" x14ac:dyDescent="0.25">
      <c r="C65" s="24" t="s">
        <v>81</v>
      </c>
      <c r="D65" s="208" t="s">
        <v>82</v>
      </c>
      <c r="E65" s="209"/>
      <c r="F65" s="20">
        <f>F53</f>
        <v>2198.5957906666663</v>
      </c>
      <c r="H65" s="24" t="s">
        <v>81</v>
      </c>
      <c r="I65" s="208" t="s">
        <v>82</v>
      </c>
      <c r="J65" s="209"/>
      <c r="K65" s="20">
        <f>K53</f>
        <v>1003.7067739999999</v>
      </c>
    </row>
    <row r="66" spans="2:11" x14ac:dyDescent="0.25">
      <c r="C66" s="24" t="s">
        <v>101</v>
      </c>
      <c r="D66" s="208" t="s">
        <v>93</v>
      </c>
      <c r="E66" s="209"/>
      <c r="F66" s="20">
        <f>F61</f>
        <v>719.74400000000003</v>
      </c>
      <c r="H66" s="24" t="s">
        <v>101</v>
      </c>
      <c r="I66" s="208" t="s">
        <v>93</v>
      </c>
      <c r="J66" s="209"/>
      <c r="K66" s="20">
        <f>K61</f>
        <v>719.74400000000003</v>
      </c>
    </row>
    <row r="67" spans="2:11" x14ac:dyDescent="0.25">
      <c r="C67" s="202" t="s">
        <v>80</v>
      </c>
      <c r="D67" s="203"/>
      <c r="E67" s="204"/>
      <c r="F67" s="22">
        <f>SUM(F64:F66)</f>
        <v>3890.9238739999996</v>
      </c>
      <c r="H67" s="202" t="s">
        <v>80</v>
      </c>
      <c r="I67" s="203"/>
      <c r="J67" s="204"/>
      <c r="K67" s="22">
        <f>SUM(K64:K66)</f>
        <v>2696.0348573333331</v>
      </c>
    </row>
    <row r="68" spans="2:11" x14ac:dyDescent="0.25">
      <c r="C68" s="193"/>
      <c r="D68" s="194"/>
      <c r="E68" s="194"/>
      <c r="F68" s="195"/>
      <c r="H68" s="193"/>
      <c r="I68" s="194"/>
      <c r="J68" s="194"/>
      <c r="K68" s="195"/>
    </row>
    <row r="69" spans="2:11" x14ac:dyDescent="0.25">
      <c r="C69" s="190" t="s">
        <v>102</v>
      </c>
      <c r="D69" s="191"/>
      <c r="E69" s="191"/>
      <c r="F69" s="192"/>
      <c r="H69" s="190" t="s">
        <v>102</v>
      </c>
      <c r="I69" s="191"/>
      <c r="J69" s="191"/>
      <c r="K69" s="192"/>
    </row>
    <row r="70" spans="2:11" x14ac:dyDescent="0.25">
      <c r="C70" s="193"/>
      <c r="D70" s="194"/>
      <c r="E70" s="194"/>
      <c r="F70" s="195"/>
      <c r="H70" s="193"/>
      <c r="I70" s="194"/>
      <c r="J70" s="194"/>
      <c r="K70" s="195"/>
    </row>
    <row r="71" spans="2:11" x14ac:dyDescent="0.25">
      <c r="C71" s="12">
        <v>3</v>
      </c>
      <c r="D71" s="23" t="s">
        <v>103</v>
      </c>
      <c r="E71" s="22" t="s">
        <v>77</v>
      </c>
      <c r="F71" s="22" t="s">
        <v>65</v>
      </c>
      <c r="H71" s="12">
        <v>3</v>
      </c>
      <c r="I71" s="23" t="s">
        <v>103</v>
      </c>
      <c r="J71" s="22" t="s">
        <v>77</v>
      </c>
      <c r="K71" s="22" t="s">
        <v>65</v>
      </c>
    </row>
    <row r="72" spans="2:11" x14ac:dyDescent="0.25">
      <c r="B72" s="129" t="s">
        <v>201</v>
      </c>
      <c r="C72" s="24" t="s">
        <v>66</v>
      </c>
      <c r="D72" s="25" t="s">
        <v>104</v>
      </c>
      <c r="E72" s="35">
        <f>0.42/100</f>
        <v>4.1999999999999997E-3</v>
      </c>
      <c r="F72" s="20">
        <f>E72*F35</f>
        <v>21.007816199999997</v>
      </c>
      <c r="H72" s="24" t="s">
        <v>66</v>
      </c>
      <c r="I72" s="25" t="s">
        <v>104</v>
      </c>
      <c r="J72" s="35">
        <f>0.42/100</f>
        <v>4.1999999999999997E-3</v>
      </c>
      <c r="K72" s="20">
        <f>J72*K35</f>
        <v>21.007816199999997</v>
      </c>
    </row>
    <row r="73" spans="2:11" x14ac:dyDescent="0.25">
      <c r="B73" s="129" t="s">
        <v>1085</v>
      </c>
      <c r="C73" s="24" t="s">
        <v>39</v>
      </c>
      <c r="D73" s="25" t="s">
        <v>105</v>
      </c>
      <c r="E73" s="35">
        <f>0.08*E72</f>
        <v>3.3599999999999998E-4</v>
      </c>
      <c r="F73" s="20">
        <f>E73*F35</f>
        <v>1.6806252959999999</v>
      </c>
      <c r="H73" s="24" t="s">
        <v>39</v>
      </c>
      <c r="I73" s="25" t="s">
        <v>105</v>
      </c>
      <c r="J73" s="35">
        <f>0.08*J72</f>
        <v>3.3599999999999998E-4</v>
      </c>
      <c r="K73" s="20">
        <f>J73*K35</f>
        <v>1.6806252959999999</v>
      </c>
    </row>
    <row r="74" spans="2:11" x14ac:dyDescent="0.25">
      <c r="B74" s="129" t="s">
        <v>202</v>
      </c>
      <c r="C74" s="24" t="s">
        <v>42</v>
      </c>
      <c r="D74" s="25" t="s">
        <v>106</v>
      </c>
      <c r="E74" s="35">
        <f>0.4*0.08*0.05</f>
        <v>1.6000000000000001E-3</v>
      </c>
      <c r="F74" s="20">
        <f>F35*E74</f>
        <v>8.0029775999999995</v>
      </c>
      <c r="H74" s="24" t="s">
        <v>42</v>
      </c>
      <c r="I74" s="25" t="s">
        <v>106</v>
      </c>
      <c r="J74" s="35">
        <f>0.4*0.08*0.05</f>
        <v>1.6000000000000001E-3</v>
      </c>
      <c r="K74" s="20">
        <f>K35*J74</f>
        <v>8.0029775999999995</v>
      </c>
    </row>
    <row r="75" spans="2:11" x14ac:dyDescent="0.25">
      <c r="B75" s="129" t="s">
        <v>203</v>
      </c>
      <c r="C75" s="24" t="s">
        <v>44</v>
      </c>
      <c r="D75" s="25" t="s">
        <v>198</v>
      </c>
      <c r="E75" s="35">
        <f>((7/30)/12)</f>
        <v>1.9444444444444445E-2</v>
      </c>
      <c r="F75" s="20">
        <f>E75*F35</f>
        <v>97.258408333333335</v>
      </c>
      <c r="H75" s="24" t="s">
        <v>44</v>
      </c>
      <c r="I75" s="25" t="s">
        <v>198</v>
      </c>
      <c r="J75" s="35">
        <f>((7/30)/12)</f>
        <v>1.9444444444444445E-2</v>
      </c>
      <c r="K75" s="20">
        <f>J75*K35</f>
        <v>97.258408333333335</v>
      </c>
    </row>
    <row r="76" spans="2:11" ht="25.5" x14ac:dyDescent="0.25">
      <c r="B76" s="129" t="s">
        <v>1087</v>
      </c>
      <c r="C76" s="24" t="s">
        <v>47</v>
      </c>
      <c r="D76" s="25" t="s">
        <v>108</v>
      </c>
      <c r="E76" s="35">
        <f>0.368*E75</f>
        <v>7.1555555555555556E-3</v>
      </c>
      <c r="F76" s="20">
        <f>F35*E76</f>
        <v>35.791094266666668</v>
      </c>
      <c r="H76" s="24" t="s">
        <v>47</v>
      </c>
      <c r="I76" s="25" t="s">
        <v>108</v>
      </c>
      <c r="J76" s="35">
        <f>0.368*J75</f>
        <v>7.1555555555555556E-3</v>
      </c>
      <c r="K76" s="20">
        <f>K35*J76</f>
        <v>35.791094266666668</v>
      </c>
    </row>
    <row r="77" spans="2:11" x14ac:dyDescent="0.25">
      <c r="B77" s="129" t="s">
        <v>204</v>
      </c>
      <c r="C77" s="24" t="s">
        <v>50</v>
      </c>
      <c r="D77" s="25" t="s">
        <v>109</v>
      </c>
      <c r="E77" s="35">
        <f>0.4*0.08*0.95</f>
        <v>3.04E-2</v>
      </c>
      <c r="F77" s="20">
        <f>F35*E77</f>
        <v>152.05657439999999</v>
      </c>
      <c r="H77" s="24" t="s">
        <v>50</v>
      </c>
      <c r="I77" s="25" t="s">
        <v>109</v>
      </c>
      <c r="J77" s="35">
        <f>0.4*0.08*0.95</f>
        <v>3.04E-2</v>
      </c>
      <c r="K77" s="20">
        <f>K35*J77</f>
        <v>152.05657439999999</v>
      </c>
    </row>
    <row r="78" spans="2:11" x14ac:dyDescent="0.25">
      <c r="C78" s="202" t="s">
        <v>110</v>
      </c>
      <c r="D78" s="203"/>
      <c r="E78" s="204"/>
      <c r="F78" s="22">
        <f>SUM(F72:F77)</f>
        <v>315.79749609600003</v>
      </c>
      <c r="H78" s="202" t="s">
        <v>110</v>
      </c>
      <c r="I78" s="203"/>
      <c r="J78" s="204"/>
      <c r="K78" s="22">
        <f>SUM(K72:K77)</f>
        <v>315.79749609600003</v>
      </c>
    </row>
    <row r="79" spans="2:11" x14ac:dyDescent="0.25">
      <c r="C79" s="193"/>
      <c r="D79" s="194"/>
      <c r="E79" s="194"/>
      <c r="F79" s="195"/>
      <c r="H79" s="193"/>
      <c r="I79" s="194"/>
      <c r="J79" s="194"/>
      <c r="K79" s="195"/>
    </row>
    <row r="80" spans="2:11" x14ac:dyDescent="0.25">
      <c r="C80" s="190" t="s">
        <v>111</v>
      </c>
      <c r="D80" s="191"/>
      <c r="E80" s="191"/>
      <c r="F80" s="192"/>
      <c r="H80" s="190" t="s">
        <v>111</v>
      </c>
      <c r="I80" s="191"/>
      <c r="J80" s="191"/>
      <c r="K80" s="192"/>
    </row>
    <row r="81" spans="3:11" x14ac:dyDescent="0.25">
      <c r="C81" s="210"/>
      <c r="D81" s="211"/>
      <c r="E81" s="211"/>
      <c r="F81" s="212"/>
      <c r="H81" s="210"/>
      <c r="I81" s="211"/>
      <c r="J81" s="211"/>
      <c r="K81" s="212"/>
    </row>
    <row r="82" spans="3:11" x14ac:dyDescent="0.25">
      <c r="C82" s="22" t="s">
        <v>112</v>
      </c>
      <c r="D82" s="23" t="s">
        <v>113</v>
      </c>
      <c r="E82" s="26" t="s">
        <v>77</v>
      </c>
      <c r="F82" s="22" t="s">
        <v>65</v>
      </c>
      <c r="H82" s="22" t="s">
        <v>112</v>
      </c>
      <c r="I82" s="23" t="s">
        <v>113</v>
      </c>
      <c r="J82" s="26" t="s">
        <v>77</v>
      </c>
      <c r="K82" s="22" t="s">
        <v>65</v>
      </c>
    </row>
    <row r="83" spans="3:11" x14ac:dyDescent="0.25">
      <c r="C83" s="24" t="s">
        <v>66</v>
      </c>
      <c r="D83" s="25" t="s">
        <v>114</v>
      </c>
      <c r="E83" s="35">
        <f>(((1+1/3)/12)/12)</f>
        <v>9.2592592592592587E-3</v>
      </c>
      <c r="F83" s="20">
        <f>($F$78+$F$67+$F$35)*E83</f>
        <v>85.264651574962954</v>
      </c>
      <c r="H83" s="24" t="s">
        <v>66</v>
      </c>
      <c r="I83" s="25" t="s">
        <v>114</v>
      </c>
      <c r="J83" s="35">
        <f>(((1+1/3)/12)/12)</f>
        <v>9.2592592592592587E-3</v>
      </c>
      <c r="K83" s="20">
        <f>($F$78+$F$67+$F$35)*J83</f>
        <v>85.264651574962954</v>
      </c>
    </row>
    <row r="84" spans="3:11" x14ac:dyDescent="0.25">
      <c r="C84" s="24" t="s">
        <v>39</v>
      </c>
      <c r="D84" s="25" t="s">
        <v>115</v>
      </c>
      <c r="E84" s="35">
        <f>((2/30)/12)</f>
        <v>5.5555555555555558E-3</v>
      </c>
      <c r="F84" s="20">
        <f t="shared" ref="F84:F88" si="2">($F$78+$F$67+$F$35)*E84</f>
        <v>51.158790944977774</v>
      </c>
      <c r="H84" s="24" t="s">
        <v>39</v>
      </c>
      <c r="I84" s="25" t="s">
        <v>115</v>
      </c>
      <c r="J84" s="35">
        <f>((2/30)/12)</f>
        <v>5.5555555555555558E-3</v>
      </c>
      <c r="K84" s="20">
        <f t="shared" ref="K84:K88" si="3">($F$78+$F$67+$F$35)*J84</f>
        <v>51.158790944977774</v>
      </c>
    </row>
    <row r="85" spans="3:11" x14ac:dyDescent="0.25">
      <c r="C85" s="24" t="s">
        <v>42</v>
      </c>
      <c r="D85" s="25" t="s">
        <v>116</v>
      </c>
      <c r="E85" s="52">
        <f>((5/30)/12)*0.015</f>
        <v>2.0833333333333332E-4</v>
      </c>
      <c r="F85" s="20">
        <f t="shared" si="2"/>
        <v>1.9184546604366663</v>
      </c>
      <c r="H85" s="24" t="s">
        <v>42</v>
      </c>
      <c r="I85" s="25" t="s">
        <v>116</v>
      </c>
      <c r="J85" s="52">
        <f>((5/30)/12)*0.015</f>
        <v>2.0833333333333332E-4</v>
      </c>
      <c r="K85" s="20">
        <f t="shared" si="3"/>
        <v>1.9184546604366663</v>
      </c>
    </row>
    <row r="86" spans="3:11" x14ac:dyDescent="0.25">
      <c r="C86" s="24" t="s">
        <v>44</v>
      </c>
      <c r="D86" s="25" t="s">
        <v>117</v>
      </c>
      <c r="E86" s="35">
        <f>(((15/30)/12)*0.08)</f>
        <v>3.3333333333333331E-3</v>
      </c>
      <c r="F86" s="20">
        <f t="shared" si="2"/>
        <v>30.695274566986662</v>
      </c>
      <c r="H86" s="24" t="s">
        <v>44</v>
      </c>
      <c r="I86" s="25" t="s">
        <v>117</v>
      </c>
      <c r="J86" s="35">
        <f>(((15/30)/12)*0.08)</f>
        <v>3.3333333333333331E-3</v>
      </c>
      <c r="K86" s="20">
        <f t="shared" si="3"/>
        <v>30.695274566986662</v>
      </c>
    </row>
    <row r="87" spans="3:11" x14ac:dyDescent="0.25">
      <c r="C87" s="24" t="s">
        <v>47</v>
      </c>
      <c r="D87" s="25" t="s">
        <v>118</v>
      </c>
      <c r="E87" s="52">
        <f>0.0144*0.1*0.4509*6/12</f>
        <v>3.2464800000000003E-4</v>
      </c>
      <c r="F87" s="20">
        <f t="shared" si="2"/>
        <v>2.9895478492869261</v>
      </c>
      <c r="H87" s="24" t="s">
        <v>47</v>
      </c>
      <c r="I87" s="25" t="s">
        <v>118</v>
      </c>
      <c r="J87" s="52">
        <f>0.0144*0.1*0.4509*6/12</f>
        <v>3.2464800000000003E-4</v>
      </c>
      <c r="K87" s="20">
        <f t="shared" si="3"/>
        <v>2.9895478492869261</v>
      </c>
    </row>
    <row r="88" spans="3:11" x14ac:dyDescent="0.25">
      <c r="C88" s="24" t="s">
        <v>50</v>
      </c>
      <c r="D88" s="25" t="s">
        <v>119</v>
      </c>
      <c r="E88" s="35">
        <v>0</v>
      </c>
      <c r="F88" s="20">
        <f t="shared" si="2"/>
        <v>0</v>
      </c>
      <c r="H88" s="24" t="s">
        <v>50</v>
      </c>
      <c r="I88" s="25" t="s">
        <v>119</v>
      </c>
      <c r="J88" s="35">
        <v>0</v>
      </c>
      <c r="K88" s="20">
        <f t="shared" si="3"/>
        <v>0</v>
      </c>
    </row>
    <row r="89" spans="3:11" x14ac:dyDescent="0.25">
      <c r="C89" s="202" t="s">
        <v>80</v>
      </c>
      <c r="D89" s="203"/>
      <c r="E89" s="204"/>
      <c r="F89" s="22">
        <f>SUM(F83:F88)</f>
        <v>172.02671959665099</v>
      </c>
      <c r="H89" s="202" t="s">
        <v>80</v>
      </c>
      <c r="I89" s="203"/>
      <c r="J89" s="204"/>
      <c r="K89" s="22">
        <f>SUM(K83:K88)</f>
        <v>172.02671959665099</v>
      </c>
    </row>
    <row r="90" spans="3:11" x14ac:dyDescent="0.25">
      <c r="C90" s="193"/>
      <c r="D90" s="194"/>
      <c r="E90" s="194"/>
      <c r="F90" s="195"/>
      <c r="H90" s="193"/>
      <c r="I90" s="194"/>
      <c r="J90" s="194"/>
      <c r="K90" s="195"/>
    </row>
    <row r="91" spans="3:11" x14ac:dyDescent="0.25">
      <c r="C91" s="27" t="s">
        <v>120</v>
      </c>
      <c r="D91" s="27" t="s">
        <v>121</v>
      </c>
      <c r="E91" s="26" t="s">
        <v>77</v>
      </c>
      <c r="F91" s="22" t="s">
        <v>65</v>
      </c>
      <c r="H91" s="27" t="s">
        <v>120</v>
      </c>
      <c r="I91" s="27" t="s">
        <v>121</v>
      </c>
      <c r="J91" s="26" t="s">
        <v>77</v>
      </c>
      <c r="K91" s="22" t="s">
        <v>65</v>
      </c>
    </row>
    <row r="92" spans="3:11" x14ac:dyDescent="0.25">
      <c r="C92" s="20" t="s">
        <v>66</v>
      </c>
      <c r="D92" s="21" t="s">
        <v>122</v>
      </c>
      <c r="E92" s="28">
        <v>0</v>
      </c>
      <c r="F92" s="20">
        <v>0</v>
      </c>
      <c r="H92" s="20" t="s">
        <v>66</v>
      </c>
      <c r="I92" s="21" t="s">
        <v>122</v>
      </c>
      <c r="J92" s="28">
        <v>0</v>
      </c>
      <c r="K92" s="20">
        <v>0</v>
      </c>
    </row>
    <row r="93" spans="3:11" x14ac:dyDescent="0.25">
      <c r="C93" s="202" t="s">
        <v>80</v>
      </c>
      <c r="D93" s="204"/>
      <c r="E93" s="39">
        <v>0</v>
      </c>
      <c r="F93" s="22">
        <v>0</v>
      </c>
      <c r="H93" s="202" t="s">
        <v>80</v>
      </c>
      <c r="I93" s="204"/>
      <c r="J93" s="39">
        <v>0</v>
      </c>
      <c r="K93" s="22">
        <v>0</v>
      </c>
    </row>
    <row r="94" spans="3:11" x14ac:dyDescent="0.25">
      <c r="C94" s="193"/>
      <c r="D94" s="194"/>
      <c r="E94" s="194"/>
      <c r="F94" s="195"/>
      <c r="H94" s="193"/>
      <c r="I94" s="194"/>
      <c r="J94" s="194"/>
      <c r="K94" s="195"/>
    </row>
    <row r="95" spans="3:11" x14ac:dyDescent="0.25">
      <c r="C95" s="202" t="s">
        <v>123</v>
      </c>
      <c r="D95" s="203"/>
      <c r="E95" s="204"/>
      <c r="F95" s="22" t="s">
        <v>65</v>
      </c>
      <c r="H95" s="202" t="s">
        <v>123</v>
      </c>
      <c r="I95" s="203"/>
      <c r="J95" s="204"/>
      <c r="K95" s="22" t="s">
        <v>65</v>
      </c>
    </row>
    <row r="96" spans="3:11" x14ac:dyDescent="0.25">
      <c r="C96" s="20" t="s">
        <v>112</v>
      </c>
      <c r="D96" s="213" t="s">
        <v>113</v>
      </c>
      <c r="E96" s="214"/>
      <c r="F96" s="20">
        <f>F89</f>
        <v>172.02671959665099</v>
      </c>
      <c r="H96" s="20" t="s">
        <v>112</v>
      </c>
      <c r="I96" s="213" t="s">
        <v>113</v>
      </c>
      <c r="J96" s="214"/>
      <c r="K96" s="20">
        <f>K89</f>
        <v>172.02671959665099</v>
      </c>
    </row>
    <row r="97" spans="3:11" x14ac:dyDescent="0.25">
      <c r="C97" s="20" t="s">
        <v>120</v>
      </c>
      <c r="D97" s="213" t="s">
        <v>121</v>
      </c>
      <c r="E97" s="214"/>
      <c r="F97" s="20">
        <v>0</v>
      </c>
      <c r="H97" s="20" t="s">
        <v>120</v>
      </c>
      <c r="I97" s="213" t="s">
        <v>121</v>
      </c>
      <c r="J97" s="214"/>
      <c r="K97" s="20">
        <v>0</v>
      </c>
    </row>
    <row r="98" spans="3:11" x14ac:dyDescent="0.25">
      <c r="C98" s="202" t="s">
        <v>124</v>
      </c>
      <c r="D98" s="203"/>
      <c r="E98" s="204"/>
      <c r="F98" s="22">
        <f>SUM(F96:F97)</f>
        <v>172.02671959665099</v>
      </c>
      <c r="H98" s="202" t="s">
        <v>124</v>
      </c>
      <c r="I98" s="203"/>
      <c r="J98" s="204"/>
      <c r="K98" s="22">
        <f>SUM(K96:K97)</f>
        <v>172.02671959665099</v>
      </c>
    </row>
    <row r="99" spans="3:11" x14ac:dyDescent="0.25">
      <c r="C99" s="193"/>
      <c r="D99" s="194"/>
      <c r="E99" s="194"/>
      <c r="F99" s="195"/>
      <c r="H99" s="193"/>
      <c r="I99" s="194"/>
      <c r="J99" s="194"/>
      <c r="K99" s="195"/>
    </row>
    <row r="100" spans="3:11" x14ac:dyDescent="0.25">
      <c r="C100" s="190" t="s">
        <v>125</v>
      </c>
      <c r="D100" s="191"/>
      <c r="E100" s="191"/>
      <c r="F100" s="192"/>
      <c r="H100" s="190" t="s">
        <v>125</v>
      </c>
      <c r="I100" s="191"/>
      <c r="J100" s="191"/>
      <c r="K100" s="192"/>
    </row>
    <row r="101" spans="3:11" x14ac:dyDescent="0.25">
      <c r="C101" s="210"/>
      <c r="D101" s="211"/>
      <c r="E101" s="211"/>
      <c r="F101" s="212"/>
      <c r="H101" s="210"/>
      <c r="I101" s="211"/>
      <c r="J101" s="211"/>
      <c r="K101" s="212"/>
    </row>
    <row r="102" spans="3:11" x14ac:dyDescent="0.25">
      <c r="C102" s="12">
        <v>5</v>
      </c>
      <c r="D102" s="202" t="s">
        <v>126</v>
      </c>
      <c r="E102" s="204"/>
      <c r="F102" s="22" t="s">
        <v>65</v>
      </c>
      <c r="H102" s="12">
        <v>5</v>
      </c>
      <c r="I102" s="202" t="s">
        <v>126</v>
      </c>
      <c r="J102" s="204"/>
      <c r="K102" s="22" t="s">
        <v>65</v>
      </c>
    </row>
    <row r="103" spans="3:11" x14ac:dyDescent="0.25">
      <c r="C103" s="24" t="s">
        <v>66</v>
      </c>
      <c r="D103" s="216" t="s">
        <v>127</v>
      </c>
      <c r="E103" s="217"/>
      <c r="F103" s="20">
        <f>UNIFORMES!E9</f>
        <v>75.355555555555569</v>
      </c>
      <c r="H103" s="24" t="s">
        <v>66</v>
      </c>
      <c r="I103" s="216" t="s">
        <v>127</v>
      </c>
      <c r="J103" s="217"/>
      <c r="K103" s="118">
        <f>UNIFORMES!E9</f>
        <v>75.355555555555569</v>
      </c>
    </row>
    <row r="104" spans="3:11" x14ac:dyDescent="0.25">
      <c r="C104" s="24" t="s">
        <v>39</v>
      </c>
      <c r="D104" s="29" t="s">
        <v>128</v>
      </c>
      <c r="E104" s="30"/>
      <c r="F104" s="20">
        <v>0</v>
      </c>
      <c r="H104" s="24" t="s">
        <v>39</v>
      </c>
      <c r="I104" s="29" t="s">
        <v>128</v>
      </c>
      <c r="J104" s="30"/>
      <c r="K104" s="20">
        <v>0</v>
      </c>
    </row>
    <row r="105" spans="3:11" x14ac:dyDescent="0.25">
      <c r="C105" s="24" t="s">
        <v>42</v>
      </c>
      <c r="D105" s="216" t="s">
        <v>129</v>
      </c>
      <c r="E105" s="217"/>
      <c r="F105" s="118">
        <f>'Ferramentas de Uso Geral'!E60</f>
        <v>39.018233333333328</v>
      </c>
      <c r="H105" s="24" t="s">
        <v>42</v>
      </c>
      <c r="I105" s="216" t="s">
        <v>129</v>
      </c>
      <c r="J105" s="217"/>
      <c r="K105" s="118">
        <f>'Ferramentas de Uso Geral'!E60</f>
        <v>39.018233333333328</v>
      </c>
    </row>
    <row r="106" spans="3:11" x14ac:dyDescent="0.25">
      <c r="C106" s="24" t="s">
        <v>44</v>
      </c>
      <c r="D106" s="216" t="s">
        <v>130</v>
      </c>
      <c r="E106" s="217"/>
      <c r="F106" s="20">
        <v>0</v>
      </c>
      <c r="H106" s="24" t="s">
        <v>44</v>
      </c>
      <c r="I106" s="216" t="s">
        <v>130</v>
      </c>
      <c r="J106" s="217"/>
      <c r="K106" s="20">
        <v>0</v>
      </c>
    </row>
    <row r="107" spans="3:11" x14ac:dyDescent="0.25">
      <c r="C107" s="202" t="s">
        <v>131</v>
      </c>
      <c r="D107" s="203"/>
      <c r="E107" s="204"/>
      <c r="F107" s="22">
        <f>SUM(F103:F106)</f>
        <v>114.3737888888889</v>
      </c>
      <c r="H107" s="202" t="s">
        <v>131</v>
      </c>
      <c r="I107" s="203"/>
      <c r="J107" s="204"/>
      <c r="K107" s="22">
        <f>SUM(K103:K106)</f>
        <v>114.3737888888889</v>
      </c>
    </row>
    <row r="108" spans="3:11" x14ac:dyDescent="0.25">
      <c r="C108" s="193"/>
      <c r="D108" s="194"/>
      <c r="E108" s="194"/>
      <c r="F108" s="195"/>
      <c r="H108" s="193"/>
      <c r="I108" s="194"/>
      <c r="J108" s="194"/>
      <c r="K108" s="195"/>
    </row>
    <row r="109" spans="3:11" x14ac:dyDescent="0.25">
      <c r="C109" s="215" t="s">
        <v>132</v>
      </c>
      <c r="D109" s="215"/>
      <c r="E109" s="215"/>
      <c r="F109" s="41">
        <f>F107+F98+F78+F35+F67</f>
        <v>9494.9828785815389</v>
      </c>
      <c r="H109" s="215" t="s">
        <v>132</v>
      </c>
      <c r="I109" s="215"/>
      <c r="J109" s="215"/>
      <c r="K109" s="41">
        <f>K107+K98+K78+K35+K67</f>
        <v>8300.0938619148728</v>
      </c>
    </row>
    <row r="110" spans="3:11" x14ac:dyDescent="0.25">
      <c r="C110" s="189"/>
      <c r="D110" s="189"/>
      <c r="E110" s="189"/>
      <c r="F110" s="189"/>
      <c r="H110" s="189"/>
      <c r="I110" s="189"/>
      <c r="J110" s="189"/>
      <c r="K110" s="189"/>
    </row>
    <row r="111" spans="3:11" x14ac:dyDescent="0.25">
      <c r="C111" s="228" t="s">
        <v>133</v>
      </c>
      <c r="D111" s="228"/>
      <c r="E111" s="228"/>
      <c r="F111" s="228"/>
      <c r="H111" s="228" t="s">
        <v>133</v>
      </c>
      <c r="I111" s="228"/>
      <c r="J111" s="228"/>
      <c r="K111" s="228"/>
    </row>
    <row r="112" spans="3:11" x14ac:dyDescent="0.25">
      <c r="C112" s="193"/>
      <c r="D112" s="194"/>
      <c r="E112" s="194"/>
      <c r="F112" s="195"/>
      <c r="H112" s="193"/>
      <c r="I112" s="194"/>
      <c r="J112" s="194"/>
      <c r="K112" s="195"/>
    </row>
    <row r="113" spans="3:12" x14ac:dyDescent="0.25">
      <c r="C113" s="12">
        <v>6</v>
      </c>
      <c r="D113" s="40" t="s">
        <v>134</v>
      </c>
      <c r="E113" s="22" t="s">
        <v>77</v>
      </c>
      <c r="F113" s="22" t="s">
        <v>65</v>
      </c>
      <c r="H113" s="12">
        <v>6</v>
      </c>
      <c r="I113" s="40" t="s">
        <v>134</v>
      </c>
      <c r="J113" s="22" t="s">
        <v>77</v>
      </c>
      <c r="K113" s="22" t="s">
        <v>65</v>
      </c>
    </row>
    <row r="114" spans="3:12" x14ac:dyDescent="0.25">
      <c r="C114" s="24" t="s">
        <v>66</v>
      </c>
      <c r="D114" s="25" t="s">
        <v>135</v>
      </c>
      <c r="E114" s="35">
        <f>6.06/100</f>
        <v>6.0599999999999994E-2</v>
      </c>
      <c r="F114" s="20">
        <f>E114*F109</f>
        <v>575.3959624420412</v>
      </c>
      <c r="H114" s="24" t="s">
        <v>66</v>
      </c>
      <c r="I114" s="25" t="s">
        <v>135</v>
      </c>
      <c r="J114" s="35">
        <f>6.06/100</f>
        <v>6.0599999999999994E-2</v>
      </c>
      <c r="K114" s="20">
        <f>J114*K109</f>
        <v>502.98568803204125</v>
      </c>
    </row>
    <row r="115" spans="3:12" x14ac:dyDescent="0.25">
      <c r="C115" s="24" t="s">
        <v>39</v>
      </c>
      <c r="D115" s="25" t="s">
        <v>136</v>
      </c>
      <c r="E115" s="35">
        <f>7.4/100</f>
        <v>7.400000000000001E-2</v>
      </c>
      <c r="F115" s="20">
        <f>E115*(F109+F114)</f>
        <v>745.208034235745</v>
      </c>
      <c r="H115" s="24" t="s">
        <v>39</v>
      </c>
      <c r="I115" s="25" t="s">
        <v>136</v>
      </c>
      <c r="J115" s="35">
        <f>7.4/100</f>
        <v>7.400000000000001E-2</v>
      </c>
      <c r="K115" s="20">
        <f>J115*(K109+K114)</f>
        <v>651.42788669607171</v>
      </c>
    </row>
    <row r="116" spans="3:12" x14ac:dyDescent="0.25">
      <c r="C116" s="24" t="s">
        <v>42</v>
      </c>
      <c r="D116" s="208" t="s">
        <v>137</v>
      </c>
      <c r="E116" s="218"/>
      <c r="F116" s="209"/>
      <c r="H116" s="24" t="s">
        <v>42</v>
      </c>
      <c r="I116" s="208" t="s">
        <v>137</v>
      </c>
      <c r="J116" s="218"/>
      <c r="K116" s="209"/>
    </row>
    <row r="117" spans="3:12" x14ac:dyDescent="0.25">
      <c r="C117" s="24" t="s">
        <v>138</v>
      </c>
      <c r="D117" s="7" t="s">
        <v>205</v>
      </c>
      <c r="E117" s="219">
        <v>8.6499999999999994E-2</v>
      </c>
      <c r="F117" s="222">
        <f>((F114+F109+F115)/(1-E117))-(F109+F115+F114)</f>
        <v>1024.1360314284975</v>
      </c>
      <c r="H117" s="24" t="s">
        <v>138</v>
      </c>
      <c r="I117" s="7" t="s">
        <v>205</v>
      </c>
      <c r="J117" s="219">
        <v>8.6499999999999994E-2</v>
      </c>
      <c r="K117" s="222">
        <f>((K114+K109+K115)/(1-J117))-(K109+K115+K114)</f>
        <v>895.25439876257951</v>
      </c>
    </row>
    <row r="118" spans="3:12" x14ac:dyDescent="0.25">
      <c r="C118" s="24" t="s">
        <v>139</v>
      </c>
      <c r="D118" s="7" t="s">
        <v>206</v>
      </c>
      <c r="E118" s="220"/>
      <c r="F118" s="223"/>
      <c r="H118" s="24" t="s">
        <v>139</v>
      </c>
      <c r="I118" s="7" t="s">
        <v>206</v>
      </c>
      <c r="J118" s="220"/>
      <c r="K118" s="223"/>
      <c r="L118" s="160"/>
    </row>
    <row r="119" spans="3:12" x14ac:dyDescent="0.25">
      <c r="C119" s="24" t="s">
        <v>140</v>
      </c>
      <c r="D119" s="155" t="s">
        <v>207</v>
      </c>
      <c r="E119" s="221"/>
      <c r="F119" s="224"/>
      <c r="H119" s="24" t="s">
        <v>140</v>
      </c>
      <c r="I119" s="7" t="s">
        <v>207</v>
      </c>
      <c r="J119" s="221"/>
      <c r="K119" s="224"/>
    </row>
    <row r="120" spans="3:12" x14ac:dyDescent="0.25">
      <c r="C120" s="229" t="s">
        <v>141</v>
      </c>
      <c r="D120" s="230"/>
      <c r="E120" s="231"/>
      <c r="F120" s="22">
        <f>SUM(F114,F115,F117,F118,F119)</f>
        <v>2344.7400281062837</v>
      </c>
      <c r="H120" s="229" t="s">
        <v>141</v>
      </c>
      <c r="I120" s="230"/>
      <c r="J120" s="231"/>
      <c r="K120" s="22">
        <f>SUM(K114,K115,K117,K118,K119)</f>
        <v>2049.6679734906925</v>
      </c>
    </row>
    <row r="121" spans="3:12" x14ac:dyDescent="0.25">
      <c r="C121" s="193"/>
      <c r="D121" s="194"/>
      <c r="E121" s="194"/>
      <c r="F121" s="195"/>
      <c r="H121" s="193"/>
      <c r="I121" s="194"/>
      <c r="J121" s="194"/>
      <c r="K121" s="195"/>
    </row>
    <row r="122" spans="3:12" x14ac:dyDescent="0.25">
      <c r="C122" s="232" t="s">
        <v>142</v>
      </c>
      <c r="D122" s="233"/>
      <c r="E122" s="234"/>
      <c r="F122" s="43" t="s">
        <v>65</v>
      </c>
      <c r="H122" s="232" t="s">
        <v>142</v>
      </c>
      <c r="I122" s="233"/>
      <c r="J122" s="234"/>
      <c r="K122" s="43" t="s">
        <v>65</v>
      </c>
    </row>
    <row r="123" spans="3:12" x14ac:dyDescent="0.25">
      <c r="C123" s="180" t="s">
        <v>143</v>
      </c>
      <c r="D123" s="181"/>
      <c r="E123" s="181"/>
      <c r="F123" s="182"/>
      <c r="H123" s="180" t="s">
        <v>143</v>
      </c>
      <c r="I123" s="181"/>
      <c r="J123" s="181"/>
      <c r="K123" s="182"/>
    </row>
    <row r="124" spans="3:12" x14ac:dyDescent="0.25">
      <c r="C124" s="6" t="s">
        <v>66</v>
      </c>
      <c r="D124" s="183" t="s">
        <v>144</v>
      </c>
      <c r="E124" s="184"/>
      <c r="F124" s="20">
        <f>F35</f>
        <v>5001.8609999999999</v>
      </c>
      <c r="H124" s="6" t="s">
        <v>66</v>
      </c>
      <c r="I124" s="183" t="s">
        <v>144</v>
      </c>
      <c r="J124" s="184"/>
      <c r="K124" s="20">
        <f>K35</f>
        <v>5001.8609999999999</v>
      </c>
    </row>
    <row r="125" spans="3:12" x14ac:dyDescent="0.25">
      <c r="C125" s="6" t="s">
        <v>39</v>
      </c>
      <c r="D125" s="183" t="s">
        <v>145</v>
      </c>
      <c r="E125" s="184"/>
      <c r="F125" s="20">
        <f>F67</f>
        <v>3890.9238739999996</v>
      </c>
      <c r="H125" s="6" t="s">
        <v>39</v>
      </c>
      <c r="I125" s="183" t="s">
        <v>145</v>
      </c>
      <c r="J125" s="184"/>
      <c r="K125" s="20">
        <f>K67</f>
        <v>2696.0348573333331</v>
      </c>
    </row>
    <row r="126" spans="3:12" x14ac:dyDescent="0.25">
      <c r="C126" s="6" t="s">
        <v>42</v>
      </c>
      <c r="D126" s="183" t="s">
        <v>146</v>
      </c>
      <c r="E126" s="184"/>
      <c r="F126" s="20">
        <f>F78</f>
        <v>315.79749609600003</v>
      </c>
      <c r="H126" s="6" t="s">
        <v>42</v>
      </c>
      <c r="I126" s="183" t="s">
        <v>146</v>
      </c>
      <c r="J126" s="184"/>
      <c r="K126" s="20">
        <f>K78</f>
        <v>315.79749609600003</v>
      </c>
    </row>
    <row r="127" spans="3:12" x14ac:dyDescent="0.25">
      <c r="C127" s="6" t="s">
        <v>44</v>
      </c>
      <c r="D127" s="183" t="s">
        <v>147</v>
      </c>
      <c r="E127" s="184"/>
      <c r="F127" s="20">
        <f>F98</f>
        <v>172.02671959665099</v>
      </c>
      <c r="H127" s="6" t="s">
        <v>44</v>
      </c>
      <c r="I127" s="183" t="s">
        <v>147</v>
      </c>
      <c r="J127" s="184"/>
      <c r="K127" s="20">
        <f>K98</f>
        <v>172.02671959665099</v>
      </c>
    </row>
    <row r="128" spans="3:12" x14ac:dyDescent="0.25">
      <c r="C128" s="6" t="s">
        <v>47</v>
      </c>
      <c r="D128" s="183" t="s">
        <v>148</v>
      </c>
      <c r="E128" s="184"/>
      <c r="F128" s="20">
        <f>F107</f>
        <v>114.3737888888889</v>
      </c>
      <c r="H128" s="6" t="s">
        <v>47</v>
      </c>
      <c r="I128" s="183" t="s">
        <v>148</v>
      </c>
      <c r="J128" s="184"/>
      <c r="K128" s="20">
        <f>K107</f>
        <v>114.3737888888889</v>
      </c>
    </row>
    <row r="129" spans="3:11" x14ac:dyDescent="0.25">
      <c r="C129" s="235" t="s">
        <v>149</v>
      </c>
      <c r="D129" s="236"/>
      <c r="E129" s="237"/>
      <c r="F129" s="20">
        <f>SUM(F124:F128)</f>
        <v>9494.9828785815389</v>
      </c>
      <c r="H129" s="235" t="s">
        <v>149</v>
      </c>
      <c r="I129" s="236"/>
      <c r="J129" s="237"/>
      <c r="K129" s="20">
        <f>SUM(K124:K128)</f>
        <v>8300.0938619148728</v>
      </c>
    </row>
    <row r="130" spans="3:11" x14ac:dyDescent="0.25">
      <c r="C130" s="6" t="s">
        <v>150</v>
      </c>
      <c r="D130" s="183" t="s">
        <v>151</v>
      </c>
      <c r="E130" s="184"/>
      <c r="F130" s="20">
        <f>F120</f>
        <v>2344.7400281062837</v>
      </c>
      <c r="H130" s="6" t="s">
        <v>150</v>
      </c>
      <c r="I130" s="183" t="s">
        <v>151</v>
      </c>
      <c r="J130" s="184"/>
      <c r="K130" s="20">
        <f>K120</f>
        <v>2049.6679734906925</v>
      </c>
    </row>
    <row r="131" spans="3:11" x14ac:dyDescent="0.25">
      <c r="C131" s="199" t="s">
        <v>152</v>
      </c>
      <c r="D131" s="201"/>
      <c r="E131" s="200"/>
      <c r="F131" s="42">
        <f>F129+F130</f>
        <v>11839.722906687823</v>
      </c>
      <c r="H131" s="199" t="s">
        <v>152</v>
      </c>
      <c r="I131" s="201"/>
      <c r="J131" s="200"/>
      <c r="K131" s="42">
        <f>K129+K130</f>
        <v>10349.761835405565</v>
      </c>
    </row>
    <row r="132" spans="3:11" x14ac:dyDescent="0.25">
      <c r="C132" s="199" t="s">
        <v>1084</v>
      </c>
      <c r="D132" s="201"/>
      <c r="E132" s="200"/>
      <c r="F132" s="42">
        <f>F131/220</f>
        <v>53.816922303126468</v>
      </c>
      <c r="H132" s="199" t="s">
        <v>1084</v>
      </c>
      <c r="I132" s="201"/>
      <c r="J132" s="200"/>
      <c r="K132" s="42">
        <f>K131/220</f>
        <v>47.044371979116207</v>
      </c>
    </row>
  </sheetData>
  <mergeCells count="164">
    <mergeCell ref="C132:E132"/>
    <mergeCell ref="H132:J132"/>
    <mergeCell ref="C129:E129"/>
    <mergeCell ref="H129:J129"/>
    <mergeCell ref="D130:E130"/>
    <mergeCell ref="I130:J130"/>
    <mergeCell ref="C131:E131"/>
    <mergeCell ref="H131:J131"/>
    <mergeCell ref="D126:E126"/>
    <mergeCell ref="I126:J126"/>
    <mergeCell ref="D127:E127"/>
    <mergeCell ref="I127:J127"/>
    <mergeCell ref="D128:E128"/>
    <mergeCell ref="I128:J128"/>
    <mergeCell ref="C123:F123"/>
    <mergeCell ref="H123:K123"/>
    <mergeCell ref="D124:E124"/>
    <mergeCell ref="I124:J124"/>
    <mergeCell ref="D125:E125"/>
    <mergeCell ref="I125:J125"/>
    <mergeCell ref="C120:E120"/>
    <mergeCell ref="H120:J120"/>
    <mergeCell ref="C121:F121"/>
    <mergeCell ref="H121:K121"/>
    <mergeCell ref="C122:E122"/>
    <mergeCell ref="H122:J122"/>
    <mergeCell ref="D116:F116"/>
    <mergeCell ref="I116:K116"/>
    <mergeCell ref="E117:E119"/>
    <mergeCell ref="F117:F119"/>
    <mergeCell ref="J117:J119"/>
    <mergeCell ref="K117:K119"/>
    <mergeCell ref="C110:F110"/>
    <mergeCell ref="H110:K110"/>
    <mergeCell ref="C111:F111"/>
    <mergeCell ref="H111:K111"/>
    <mergeCell ref="C112:F112"/>
    <mergeCell ref="H112:K112"/>
    <mergeCell ref="C107:E107"/>
    <mergeCell ref="H107:J107"/>
    <mergeCell ref="C108:F108"/>
    <mergeCell ref="H108:K108"/>
    <mergeCell ref="C109:E109"/>
    <mergeCell ref="H109:J109"/>
    <mergeCell ref="D103:E103"/>
    <mergeCell ref="I103:J103"/>
    <mergeCell ref="D105:E105"/>
    <mergeCell ref="I105:J105"/>
    <mergeCell ref="D106:E106"/>
    <mergeCell ref="I106:J106"/>
    <mergeCell ref="C100:F100"/>
    <mergeCell ref="H100:K100"/>
    <mergeCell ref="C101:F101"/>
    <mergeCell ref="H101:K101"/>
    <mergeCell ref="D102:E102"/>
    <mergeCell ref="I102:J102"/>
    <mergeCell ref="D97:E97"/>
    <mergeCell ref="I97:J97"/>
    <mergeCell ref="C98:E98"/>
    <mergeCell ref="H98:J98"/>
    <mergeCell ref="C99:F99"/>
    <mergeCell ref="H99:K99"/>
    <mergeCell ref="C94:F94"/>
    <mergeCell ref="H94:K94"/>
    <mergeCell ref="C95:E95"/>
    <mergeCell ref="H95:J95"/>
    <mergeCell ref="D96:E96"/>
    <mergeCell ref="I96:J96"/>
    <mergeCell ref="C89:E89"/>
    <mergeCell ref="H89:J89"/>
    <mergeCell ref="C90:F90"/>
    <mergeCell ref="H90:K90"/>
    <mergeCell ref="C93:D93"/>
    <mergeCell ref="H93:I93"/>
    <mergeCell ref="C79:F79"/>
    <mergeCell ref="H79:K79"/>
    <mergeCell ref="C80:F80"/>
    <mergeCell ref="H80:K80"/>
    <mergeCell ref="C81:F81"/>
    <mergeCell ref="H81:K81"/>
    <mergeCell ref="C69:F69"/>
    <mergeCell ref="H69:K69"/>
    <mergeCell ref="C70:F70"/>
    <mergeCell ref="H70:K70"/>
    <mergeCell ref="C78:E78"/>
    <mergeCell ref="H78:J78"/>
    <mergeCell ref="D66:E66"/>
    <mergeCell ref="I66:J66"/>
    <mergeCell ref="C67:E67"/>
    <mergeCell ref="H67:J67"/>
    <mergeCell ref="C68:F68"/>
    <mergeCell ref="H68:K68"/>
    <mergeCell ref="C63:E63"/>
    <mergeCell ref="H63:J63"/>
    <mergeCell ref="D64:E64"/>
    <mergeCell ref="I64:J64"/>
    <mergeCell ref="D65:E65"/>
    <mergeCell ref="I65:J65"/>
    <mergeCell ref="C54:F54"/>
    <mergeCell ref="H54:K54"/>
    <mergeCell ref="C61:E61"/>
    <mergeCell ref="H61:J61"/>
    <mergeCell ref="C62:F62"/>
    <mergeCell ref="H62:K62"/>
    <mergeCell ref="C42:E42"/>
    <mergeCell ref="H42:J42"/>
    <mergeCell ref="C43:F43"/>
    <mergeCell ref="H43:K43"/>
    <mergeCell ref="C53:D53"/>
    <mergeCell ref="H53:I53"/>
    <mergeCell ref="C36:F36"/>
    <mergeCell ref="H36:K36"/>
    <mergeCell ref="C37:F37"/>
    <mergeCell ref="H37:K37"/>
    <mergeCell ref="C38:F38"/>
    <mergeCell ref="H38:K38"/>
    <mergeCell ref="C26:F26"/>
    <mergeCell ref="H26:K26"/>
    <mergeCell ref="D27:E27"/>
    <mergeCell ref="I27:J27"/>
    <mergeCell ref="C35:E35"/>
    <mergeCell ref="H35:J35"/>
    <mergeCell ref="D23:E23"/>
    <mergeCell ref="I23:J23"/>
    <mergeCell ref="C24:F24"/>
    <mergeCell ref="H24:K24"/>
    <mergeCell ref="C25:F25"/>
    <mergeCell ref="H25:K25"/>
    <mergeCell ref="C20:F20"/>
    <mergeCell ref="H20:K20"/>
    <mergeCell ref="D21:E21"/>
    <mergeCell ref="I21:J21"/>
    <mergeCell ref="D22:E22"/>
    <mergeCell ref="I22:J22"/>
    <mergeCell ref="E18:F18"/>
    <mergeCell ref="J18:K18"/>
    <mergeCell ref="E19:F19"/>
    <mergeCell ref="J19:K19"/>
    <mergeCell ref="C14:F14"/>
    <mergeCell ref="H14:K14"/>
    <mergeCell ref="C15:F15"/>
    <mergeCell ref="H15:K15"/>
    <mergeCell ref="C16:F16"/>
    <mergeCell ref="H16:K16"/>
    <mergeCell ref="E13:F13"/>
    <mergeCell ref="J13:K13"/>
    <mergeCell ref="E7:F7"/>
    <mergeCell ref="J7:K7"/>
    <mergeCell ref="E8:F8"/>
    <mergeCell ref="J8:K8"/>
    <mergeCell ref="E10:F10"/>
    <mergeCell ref="J10:K10"/>
    <mergeCell ref="E17:F17"/>
    <mergeCell ref="J17:K17"/>
    <mergeCell ref="C4:F4"/>
    <mergeCell ref="H4:K4"/>
    <mergeCell ref="C5:F5"/>
    <mergeCell ref="H5:K5"/>
    <mergeCell ref="C6:F6"/>
    <mergeCell ref="H6:K6"/>
    <mergeCell ref="E11:F11"/>
    <mergeCell ref="J11:K11"/>
    <mergeCell ref="E12:F12"/>
    <mergeCell ref="J12:K1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5A1C1-97D6-4A49-A281-C80C8D0DABD0}">
  <dimension ref="B4:L132"/>
  <sheetViews>
    <sheetView topLeftCell="A103" workbookViewId="0">
      <selection activeCell="H120" sqref="H120:J120"/>
    </sheetView>
  </sheetViews>
  <sheetFormatPr defaultColWidth="9.140625" defaultRowHeight="15" x14ac:dyDescent="0.25"/>
  <cols>
    <col min="1" max="1" width="4.85546875" customWidth="1"/>
    <col min="2" max="2" width="37.5703125" customWidth="1"/>
    <col min="4" max="4" width="55.85546875" customWidth="1"/>
    <col min="5" max="5" width="12.140625" bestFit="1" customWidth="1"/>
    <col min="6" max="6" width="11.42578125" bestFit="1" customWidth="1"/>
    <col min="9" max="9" width="55.85546875" customWidth="1"/>
    <col min="10" max="10" width="12.140625" bestFit="1" customWidth="1"/>
    <col min="11" max="11" width="11.42578125" bestFit="1" customWidth="1"/>
  </cols>
  <sheetData>
    <row r="4" spans="3:11" x14ac:dyDescent="0.25">
      <c r="C4" s="169" t="s">
        <v>214</v>
      </c>
      <c r="D4" s="169"/>
      <c r="E4" s="169"/>
      <c r="F4" s="169"/>
      <c r="H4" s="169" t="s">
        <v>214</v>
      </c>
      <c r="I4" s="169"/>
      <c r="J4" s="169"/>
      <c r="K4" s="169"/>
    </row>
    <row r="5" spans="3:11" x14ac:dyDescent="0.25">
      <c r="C5" s="170" t="s">
        <v>35</v>
      </c>
      <c r="D5" s="170"/>
      <c r="E5" s="170"/>
      <c r="F5" s="170"/>
      <c r="H5" s="170" t="s">
        <v>35</v>
      </c>
      <c r="I5" s="170"/>
      <c r="J5" s="170"/>
      <c r="K5" s="170"/>
    </row>
    <row r="6" spans="3:11" x14ac:dyDescent="0.25">
      <c r="C6" s="171" t="s">
        <v>36</v>
      </c>
      <c r="D6" s="171"/>
      <c r="E6" s="171"/>
      <c r="F6" s="171"/>
      <c r="H6" s="171" t="s">
        <v>36</v>
      </c>
      <c r="I6" s="171"/>
      <c r="J6" s="171"/>
      <c r="K6" s="171"/>
    </row>
    <row r="7" spans="3:11" x14ac:dyDescent="0.25">
      <c r="C7" s="6" t="s">
        <v>37</v>
      </c>
      <c r="D7" s="7" t="s">
        <v>38</v>
      </c>
      <c r="E7" s="172"/>
      <c r="F7" s="173"/>
      <c r="H7" s="6" t="s">
        <v>37</v>
      </c>
      <c r="I7" s="7" t="s">
        <v>38</v>
      </c>
      <c r="J7" s="172"/>
      <c r="K7" s="173"/>
    </row>
    <row r="8" spans="3:11" x14ac:dyDescent="0.25">
      <c r="C8" s="6" t="s">
        <v>39</v>
      </c>
      <c r="D8" s="7" t="s">
        <v>40</v>
      </c>
      <c r="E8" s="176" t="s">
        <v>215</v>
      </c>
      <c r="F8" s="176"/>
      <c r="H8" s="6" t="s">
        <v>39</v>
      </c>
      <c r="I8" s="7" t="s">
        <v>40</v>
      </c>
      <c r="J8" s="176" t="s">
        <v>215</v>
      </c>
      <c r="K8" s="176"/>
    </row>
    <row r="9" spans="3:11" ht="25.5" x14ac:dyDescent="0.25">
      <c r="C9" s="8" t="s">
        <v>42</v>
      </c>
      <c r="D9" s="9" t="s">
        <v>43</v>
      </c>
      <c r="E9" s="45" t="s">
        <v>154</v>
      </c>
      <c r="F9" s="156">
        <v>2025</v>
      </c>
      <c r="H9" s="8" t="s">
        <v>42</v>
      </c>
      <c r="I9" s="9" t="s">
        <v>43</v>
      </c>
      <c r="J9" s="45" t="s">
        <v>154</v>
      </c>
      <c r="K9" s="46">
        <v>2025</v>
      </c>
    </row>
    <row r="10" spans="3:11" x14ac:dyDescent="0.25">
      <c r="C10" s="6" t="s">
        <v>44</v>
      </c>
      <c r="D10" s="7" t="s">
        <v>45</v>
      </c>
      <c r="E10" s="172" t="s">
        <v>46</v>
      </c>
      <c r="F10" s="173"/>
      <c r="H10" s="6" t="s">
        <v>44</v>
      </c>
      <c r="I10" s="7" t="s">
        <v>45</v>
      </c>
      <c r="J10" s="172" t="s">
        <v>46</v>
      </c>
      <c r="K10" s="173"/>
    </row>
    <row r="11" spans="3:11" x14ac:dyDescent="0.25">
      <c r="C11" s="6" t="s">
        <v>47</v>
      </c>
      <c r="D11" s="7" t="s">
        <v>48</v>
      </c>
      <c r="E11" s="172" t="s">
        <v>49</v>
      </c>
      <c r="F11" s="173"/>
      <c r="H11" s="6" t="s">
        <v>47</v>
      </c>
      <c r="I11" s="7" t="s">
        <v>48</v>
      </c>
      <c r="J11" s="172" t="s">
        <v>49</v>
      </c>
      <c r="K11" s="173"/>
    </row>
    <row r="12" spans="3:11" x14ac:dyDescent="0.25">
      <c r="C12" s="6" t="s">
        <v>50</v>
      </c>
      <c r="D12" s="7" t="s">
        <v>51</v>
      </c>
      <c r="E12" s="174">
        <v>220</v>
      </c>
      <c r="F12" s="175"/>
      <c r="H12" s="6" t="s">
        <v>50</v>
      </c>
      <c r="I12" s="7" t="s">
        <v>51</v>
      </c>
      <c r="J12" s="174">
        <v>220</v>
      </c>
      <c r="K12" s="175"/>
    </row>
    <row r="13" spans="3:11" x14ac:dyDescent="0.25">
      <c r="C13" s="6" t="s">
        <v>52</v>
      </c>
      <c r="D13" s="7" t="s">
        <v>53</v>
      </c>
      <c r="E13" s="172">
        <v>12</v>
      </c>
      <c r="F13" s="173"/>
      <c r="H13" s="6" t="s">
        <v>52</v>
      </c>
      <c r="I13" s="7" t="s">
        <v>53</v>
      </c>
      <c r="J13" s="172">
        <v>12</v>
      </c>
      <c r="K13" s="173"/>
    </row>
    <row r="14" spans="3:11" x14ac:dyDescent="0.25">
      <c r="C14" s="179" t="s">
        <v>195</v>
      </c>
      <c r="D14" s="179"/>
      <c r="E14" s="179"/>
      <c r="F14" s="179"/>
      <c r="H14" s="179" t="s">
        <v>195</v>
      </c>
      <c r="I14" s="179"/>
      <c r="J14" s="179"/>
      <c r="K14" s="179"/>
    </row>
    <row r="15" spans="3:11" x14ac:dyDescent="0.25">
      <c r="C15" s="180" t="s">
        <v>54</v>
      </c>
      <c r="D15" s="181"/>
      <c r="E15" s="181"/>
      <c r="F15" s="182"/>
      <c r="H15" s="180" t="s">
        <v>54</v>
      </c>
      <c r="I15" s="181"/>
      <c r="J15" s="181"/>
      <c r="K15" s="182"/>
    </row>
    <row r="16" spans="3:11" x14ac:dyDescent="0.25">
      <c r="C16" s="176" t="s">
        <v>55</v>
      </c>
      <c r="D16" s="176"/>
      <c r="E16" s="176"/>
      <c r="F16" s="176"/>
      <c r="H16" s="176" t="s">
        <v>55</v>
      </c>
      <c r="I16" s="176"/>
      <c r="J16" s="176"/>
      <c r="K16" s="176"/>
    </row>
    <row r="17" spans="3:11" x14ac:dyDescent="0.25">
      <c r="C17" s="6">
        <v>1</v>
      </c>
      <c r="D17" s="7" t="s">
        <v>56</v>
      </c>
      <c r="E17" s="172" t="s">
        <v>157</v>
      </c>
      <c r="F17" s="173" t="s">
        <v>57</v>
      </c>
      <c r="H17" s="6">
        <v>1</v>
      </c>
      <c r="I17" s="7" t="s">
        <v>56</v>
      </c>
      <c r="J17" s="172" t="s">
        <v>157</v>
      </c>
      <c r="K17" s="173" t="s">
        <v>57</v>
      </c>
    </row>
    <row r="18" spans="3:11" x14ac:dyDescent="0.25">
      <c r="C18" s="6"/>
      <c r="D18" s="10" t="s">
        <v>194</v>
      </c>
      <c r="E18" s="172">
        <v>220</v>
      </c>
      <c r="F18" s="173">
        <v>1</v>
      </c>
      <c r="H18" s="6"/>
      <c r="I18" s="10" t="s">
        <v>194</v>
      </c>
      <c r="J18" s="172">
        <v>220</v>
      </c>
      <c r="K18" s="173">
        <v>1</v>
      </c>
    </row>
    <row r="19" spans="3:11" ht="39" customHeight="1" x14ac:dyDescent="0.25">
      <c r="C19" s="6">
        <v>2</v>
      </c>
      <c r="D19" s="11" t="s">
        <v>58</v>
      </c>
      <c r="E19" s="177" t="s">
        <v>196</v>
      </c>
      <c r="F19" s="178"/>
      <c r="H19" s="6">
        <v>2</v>
      </c>
      <c r="I19" s="11" t="s">
        <v>58</v>
      </c>
      <c r="J19" s="177" t="s">
        <v>196</v>
      </c>
      <c r="K19" s="178"/>
    </row>
    <row r="20" spans="3:11" x14ac:dyDescent="0.25">
      <c r="C20" s="176" t="s">
        <v>59</v>
      </c>
      <c r="D20" s="176"/>
      <c r="E20" s="176"/>
      <c r="F20" s="176"/>
      <c r="H20" s="176" t="s">
        <v>59</v>
      </c>
      <c r="I20" s="176"/>
      <c r="J20" s="176"/>
      <c r="K20" s="176"/>
    </row>
    <row r="21" spans="3:11" x14ac:dyDescent="0.25">
      <c r="C21" s="6">
        <v>3</v>
      </c>
      <c r="D21" s="187" t="s">
        <v>1143</v>
      </c>
      <c r="E21" s="188"/>
      <c r="F21" s="31">
        <v>3790.67</v>
      </c>
      <c r="H21" s="6">
        <v>3</v>
      </c>
      <c r="I21" s="183" t="s">
        <v>1143</v>
      </c>
      <c r="J21" s="184"/>
      <c r="K21" s="31">
        <v>3790.67</v>
      </c>
    </row>
    <row r="22" spans="3:11" x14ac:dyDescent="0.25">
      <c r="C22" s="6">
        <v>4</v>
      </c>
      <c r="D22" s="183" t="s">
        <v>61</v>
      </c>
      <c r="E22" s="184"/>
      <c r="F22" s="32" t="s">
        <v>154</v>
      </c>
      <c r="H22" s="6">
        <v>4</v>
      </c>
      <c r="I22" s="183" t="s">
        <v>61</v>
      </c>
      <c r="J22" s="184"/>
      <c r="K22" s="32" t="s">
        <v>154</v>
      </c>
    </row>
    <row r="23" spans="3:11" x14ac:dyDescent="0.25">
      <c r="C23" s="6">
        <v>5</v>
      </c>
      <c r="D23" s="183" t="s">
        <v>62</v>
      </c>
      <c r="E23" s="184"/>
      <c r="F23" s="33">
        <v>45658</v>
      </c>
      <c r="H23" s="6">
        <v>5</v>
      </c>
      <c r="I23" s="183" t="s">
        <v>62</v>
      </c>
      <c r="J23" s="184"/>
      <c r="K23" s="33">
        <v>45658</v>
      </c>
    </row>
    <row r="24" spans="3:11" x14ac:dyDescent="0.25">
      <c r="C24" s="172"/>
      <c r="D24" s="185"/>
      <c r="E24" s="185"/>
      <c r="F24" s="173"/>
      <c r="H24" s="172"/>
      <c r="I24" s="185"/>
      <c r="J24" s="185"/>
      <c r="K24" s="173"/>
    </row>
    <row r="25" spans="3:11" x14ac:dyDescent="0.25">
      <c r="C25" s="186" t="s">
        <v>63</v>
      </c>
      <c r="D25" s="186"/>
      <c r="E25" s="186"/>
      <c r="F25" s="186"/>
      <c r="H25" s="186" t="s">
        <v>63</v>
      </c>
      <c r="I25" s="186"/>
      <c r="J25" s="186"/>
      <c r="K25" s="186"/>
    </row>
    <row r="26" spans="3:11" x14ac:dyDescent="0.25">
      <c r="C26" s="196"/>
      <c r="D26" s="197"/>
      <c r="E26" s="197"/>
      <c r="F26" s="198"/>
      <c r="H26" s="196"/>
      <c r="I26" s="197"/>
      <c r="J26" s="197"/>
      <c r="K26" s="198"/>
    </row>
    <row r="27" spans="3:11" x14ac:dyDescent="0.25">
      <c r="C27" s="12">
        <v>1</v>
      </c>
      <c r="D27" s="199" t="s">
        <v>64</v>
      </c>
      <c r="E27" s="200"/>
      <c r="F27" s="12" t="s">
        <v>65</v>
      </c>
      <c r="H27" s="12">
        <v>1</v>
      </c>
      <c r="I27" s="199" t="s">
        <v>64</v>
      </c>
      <c r="J27" s="200"/>
      <c r="K27" s="12" t="s">
        <v>65</v>
      </c>
    </row>
    <row r="28" spans="3:11" x14ac:dyDescent="0.25">
      <c r="C28" s="6" t="s">
        <v>66</v>
      </c>
      <c r="D28" s="7" t="s">
        <v>67</v>
      </c>
      <c r="E28" s="34">
        <v>1</v>
      </c>
      <c r="F28" s="47">
        <f>F21</f>
        <v>3790.67</v>
      </c>
      <c r="H28" s="6" t="s">
        <v>66</v>
      </c>
      <c r="I28" s="7" t="s">
        <v>67</v>
      </c>
      <c r="J28" s="34">
        <v>1</v>
      </c>
      <c r="K28" s="47">
        <f>K21</f>
        <v>3790.67</v>
      </c>
    </row>
    <row r="29" spans="3:11" x14ac:dyDescent="0.25">
      <c r="C29" s="6" t="s">
        <v>39</v>
      </c>
      <c r="D29" s="7" t="s">
        <v>68</v>
      </c>
      <c r="E29" s="14">
        <v>0.3</v>
      </c>
      <c r="F29" s="15">
        <f>F28*E29</f>
        <v>1137.201</v>
      </c>
      <c r="H29" s="6" t="s">
        <v>39</v>
      </c>
      <c r="I29" s="7" t="s">
        <v>68</v>
      </c>
      <c r="J29" s="14">
        <v>0.3</v>
      </c>
      <c r="K29" s="15">
        <f>K28*J29</f>
        <v>1137.201</v>
      </c>
    </row>
    <row r="30" spans="3:11" x14ac:dyDescent="0.25">
      <c r="C30" s="6" t="s">
        <v>42</v>
      </c>
      <c r="D30" s="7" t="s">
        <v>69</v>
      </c>
      <c r="E30" s="14">
        <v>0</v>
      </c>
      <c r="F30" s="16">
        <v>0</v>
      </c>
      <c r="H30" s="6" t="s">
        <v>42</v>
      </c>
      <c r="I30" s="7" t="s">
        <v>69</v>
      </c>
      <c r="J30" s="14">
        <v>0</v>
      </c>
      <c r="K30" s="16">
        <v>0</v>
      </c>
    </row>
    <row r="31" spans="3:11" x14ac:dyDescent="0.25">
      <c r="C31" s="6" t="s">
        <v>44</v>
      </c>
      <c r="D31" s="7" t="s">
        <v>70</v>
      </c>
      <c r="E31" s="14">
        <v>0</v>
      </c>
      <c r="F31" s="16">
        <v>0</v>
      </c>
      <c r="H31" s="6" t="s">
        <v>44</v>
      </c>
      <c r="I31" s="7" t="s">
        <v>70</v>
      </c>
      <c r="J31" s="14">
        <v>0</v>
      </c>
      <c r="K31" s="16">
        <v>0</v>
      </c>
    </row>
    <row r="32" spans="3:11" x14ac:dyDescent="0.25">
      <c r="C32" s="6" t="s">
        <v>47</v>
      </c>
      <c r="D32" s="7" t="s">
        <v>71</v>
      </c>
      <c r="E32" s="14">
        <v>0</v>
      </c>
      <c r="F32" s="16">
        <v>0</v>
      </c>
      <c r="H32" s="6" t="s">
        <v>47</v>
      </c>
      <c r="I32" s="7" t="s">
        <v>71</v>
      </c>
      <c r="J32" s="14">
        <v>0</v>
      </c>
      <c r="K32" s="16">
        <v>0</v>
      </c>
    </row>
    <row r="33" spans="3:11" x14ac:dyDescent="0.25">
      <c r="C33" s="6" t="s">
        <v>50</v>
      </c>
      <c r="D33" s="155" t="s">
        <v>1144</v>
      </c>
      <c r="E33" s="34">
        <v>1</v>
      </c>
      <c r="F33" s="53">
        <v>73.989999999999995</v>
      </c>
      <c r="H33" s="6" t="s">
        <v>50</v>
      </c>
      <c r="I33" s="7" t="s">
        <v>1144</v>
      </c>
      <c r="J33" s="34">
        <v>1</v>
      </c>
      <c r="K33" s="53">
        <v>73.989999999999995</v>
      </c>
    </row>
    <row r="34" spans="3:11" x14ac:dyDescent="0.25">
      <c r="C34" s="6" t="s">
        <v>52</v>
      </c>
      <c r="D34" s="7" t="s">
        <v>72</v>
      </c>
      <c r="E34" s="14">
        <v>0</v>
      </c>
      <c r="F34" s="16">
        <v>0</v>
      </c>
      <c r="H34" s="6" t="s">
        <v>52</v>
      </c>
      <c r="I34" s="7" t="s">
        <v>72</v>
      </c>
      <c r="J34" s="14">
        <v>0</v>
      </c>
      <c r="K34" s="16">
        <v>0</v>
      </c>
    </row>
    <row r="35" spans="3:11" x14ac:dyDescent="0.25">
      <c r="C35" s="199" t="s">
        <v>73</v>
      </c>
      <c r="D35" s="201"/>
      <c r="E35" s="200"/>
      <c r="F35" s="17">
        <f>SUM(F28:F34)</f>
        <v>5001.8609999999999</v>
      </c>
      <c r="H35" s="199" t="s">
        <v>73</v>
      </c>
      <c r="I35" s="201"/>
      <c r="J35" s="200"/>
      <c r="K35" s="17">
        <f>SUM(K28:K34)</f>
        <v>5001.8609999999999</v>
      </c>
    </row>
    <row r="36" spans="3:11" x14ac:dyDescent="0.25">
      <c r="C36" s="189"/>
      <c r="D36" s="189"/>
      <c r="E36" s="189"/>
      <c r="F36" s="189"/>
      <c r="H36" s="189"/>
      <c r="I36" s="189"/>
      <c r="J36" s="189"/>
      <c r="K36" s="189"/>
    </row>
    <row r="37" spans="3:11" x14ac:dyDescent="0.25">
      <c r="C37" s="190" t="s">
        <v>74</v>
      </c>
      <c r="D37" s="191"/>
      <c r="E37" s="191"/>
      <c r="F37" s="192"/>
      <c r="H37" s="190" t="s">
        <v>74</v>
      </c>
      <c r="I37" s="191"/>
      <c r="J37" s="191"/>
      <c r="K37" s="192"/>
    </row>
    <row r="38" spans="3:11" x14ac:dyDescent="0.25">
      <c r="C38" s="193"/>
      <c r="D38" s="194"/>
      <c r="E38" s="194"/>
      <c r="F38" s="195"/>
      <c r="H38" s="193"/>
      <c r="I38" s="194"/>
      <c r="J38" s="194"/>
      <c r="K38" s="195"/>
    </row>
    <row r="39" spans="3:11" x14ac:dyDescent="0.25">
      <c r="C39" s="18" t="s">
        <v>75</v>
      </c>
      <c r="D39" s="19" t="s">
        <v>76</v>
      </c>
      <c r="E39" s="18" t="s">
        <v>77</v>
      </c>
      <c r="F39" s="18" t="s">
        <v>65</v>
      </c>
      <c r="H39" s="18" t="s">
        <v>75</v>
      </c>
      <c r="I39" s="19" t="s">
        <v>76</v>
      </c>
      <c r="J39" s="18" t="s">
        <v>77</v>
      </c>
      <c r="K39" s="18" t="s">
        <v>65</v>
      </c>
    </row>
    <row r="40" spans="3:11" x14ac:dyDescent="0.25">
      <c r="C40" s="20" t="s">
        <v>66</v>
      </c>
      <c r="D40" s="21" t="s">
        <v>78</v>
      </c>
      <c r="E40" s="44">
        <f>1/12</f>
        <v>8.3333333333333329E-2</v>
      </c>
      <c r="F40" s="20">
        <f>F35*E40</f>
        <v>416.82174999999995</v>
      </c>
      <c r="H40" s="20" t="s">
        <v>66</v>
      </c>
      <c r="I40" s="21" t="s">
        <v>78</v>
      </c>
      <c r="J40" s="44">
        <f>1/12</f>
        <v>8.3333333333333329E-2</v>
      </c>
      <c r="K40" s="20">
        <f>K35*J40</f>
        <v>416.82174999999995</v>
      </c>
    </row>
    <row r="41" spans="3:11" x14ac:dyDescent="0.25">
      <c r="C41" s="20" t="s">
        <v>39</v>
      </c>
      <c r="D41" s="21" t="s">
        <v>79</v>
      </c>
      <c r="E41" s="28">
        <f>(1/12)+(1/(12*3))</f>
        <v>0.1111111111111111</v>
      </c>
      <c r="F41" s="20">
        <f>E41*F35</f>
        <v>555.76233333333334</v>
      </c>
      <c r="H41" s="20" t="s">
        <v>39</v>
      </c>
      <c r="I41" s="21" t="s">
        <v>79</v>
      </c>
      <c r="J41" s="28">
        <f>(1/12)+(1/(12*3))</f>
        <v>0.1111111111111111</v>
      </c>
      <c r="K41" s="20">
        <f>J41*K35</f>
        <v>555.76233333333334</v>
      </c>
    </row>
    <row r="42" spans="3:11" x14ac:dyDescent="0.25">
      <c r="C42" s="205" t="s">
        <v>80</v>
      </c>
      <c r="D42" s="206"/>
      <c r="E42" s="207"/>
      <c r="F42" s="22">
        <f>SUM(F40:F41)</f>
        <v>972.5840833333333</v>
      </c>
      <c r="H42" s="205" t="s">
        <v>80</v>
      </c>
      <c r="I42" s="206"/>
      <c r="J42" s="207"/>
      <c r="K42" s="22">
        <f>SUM(K40:K41)</f>
        <v>972.5840833333333</v>
      </c>
    </row>
    <row r="43" spans="3:11" x14ac:dyDescent="0.25">
      <c r="C43" s="193"/>
      <c r="D43" s="194"/>
      <c r="E43" s="194"/>
      <c r="F43" s="195"/>
      <c r="H43" s="193"/>
      <c r="I43" s="194"/>
      <c r="J43" s="194"/>
      <c r="K43" s="195"/>
    </row>
    <row r="44" spans="3:11" x14ac:dyDescent="0.25">
      <c r="C44" s="22" t="s">
        <v>81</v>
      </c>
      <c r="D44" s="23" t="s">
        <v>82</v>
      </c>
      <c r="E44" s="22" t="s">
        <v>77</v>
      </c>
      <c r="F44" s="22" t="s">
        <v>65</v>
      </c>
      <c r="H44" s="22" t="s">
        <v>81</v>
      </c>
      <c r="I44" s="23" t="s">
        <v>82</v>
      </c>
      <c r="J44" s="22" t="s">
        <v>77</v>
      </c>
      <c r="K44" s="22" t="s">
        <v>65</v>
      </c>
    </row>
    <row r="45" spans="3:11" x14ac:dyDescent="0.25">
      <c r="C45" s="24" t="s">
        <v>66</v>
      </c>
      <c r="D45" s="25" t="s">
        <v>83</v>
      </c>
      <c r="E45" s="35">
        <f>2/10</f>
        <v>0.2</v>
      </c>
      <c r="F45" s="20">
        <f>E45*($F$35+$F$42)</f>
        <v>1194.8890166666667</v>
      </c>
      <c r="H45" s="24" t="s">
        <v>66</v>
      </c>
      <c r="I45" s="25" t="s">
        <v>83</v>
      </c>
      <c r="J45" s="159">
        <v>0</v>
      </c>
      <c r="K45" s="158">
        <f>J45*($F$35+$F$42)</f>
        <v>0</v>
      </c>
    </row>
    <row r="46" spans="3:11" x14ac:dyDescent="0.25">
      <c r="C46" s="24" t="s">
        <v>39</v>
      </c>
      <c r="D46" s="25" t="s">
        <v>84</v>
      </c>
      <c r="E46" s="35">
        <f>2.5/100</f>
        <v>2.5000000000000001E-2</v>
      </c>
      <c r="F46" s="20">
        <f t="shared" ref="F46:F52" si="0">E46*($F$35+$F$42)</f>
        <v>149.36112708333334</v>
      </c>
      <c r="H46" s="24" t="s">
        <v>39</v>
      </c>
      <c r="I46" s="25" t="s">
        <v>84</v>
      </c>
      <c r="J46" s="35">
        <f>2.5/100</f>
        <v>2.5000000000000001E-2</v>
      </c>
      <c r="K46" s="20">
        <f t="shared" ref="K46:K52" si="1">J46*($F$35+$F$42)</f>
        <v>149.36112708333334</v>
      </c>
    </row>
    <row r="47" spans="3:11" x14ac:dyDescent="0.25">
      <c r="C47" s="24" t="s">
        <v>42</v>
      </c>
      <c r="D47" s="25" t="s">
        <v>85</v>
      </c>
      <c r="E47" s="35">
        <f>3/100</f>
        <v>0.03</v>
      </c>
      <c r="F47" s="20">
        <f t="shared" si="0"/>
        <v>179.2333525</v>
      </c>
      <c r="H47" s="24" t="s">
        <v>42</v>
      </c>
      <c r="I47" s="25" t="s">
        <v>85</v>
      </c>
      <c r="J47" s="35">
        <f>3/100</f>
        <v>0.03</v>
      </c>
      <c r="K47" s="20">
        <f t="shared" si="1"/>
        <v>179.2333525</v>
      </c>
    </row>
    <row r="48" spans="3:11" x14ac:dyDescent="0.25">
      <c r="C48" s="24" t="s">
        <v>44</v>
      </c>
      <c r="D48" s="25" t="s">
        <v>86</v>
      </c>
      <c r="E48" s="35">
        <f>1.5/100</f>
        <v>1.4999999999999999E-2</v>
      </c>
      <c r="F48" s="20">
        <f t="shared" si="0"/>
        <v>89.616676249999998</v>
      </c>
      <c r="H48" s="24" t="s">
        <v>44</v>
      </c>
      <c r="I48" s="25" t="s">
        <v>86</v>
      </c>
      <c r="J48" s="35">
        <f>1.5/100</f>
        <v>1.4999999999999999E-2</v>
      </c>
      <c r="K48" s="20">
        <f t="shared" si="1"/>
        <v>89.616676249999998</v>
      </c>
    </row>
    <row r="49" spans="3:12" x14ac:dyDescent="0.25">
      <c r="C49" s="24" t="s">
        <v>47</v>
      </c>
      <c r="D49" s="25" t="s">
        <v>87</v>
      </c>
      <c r="E49" s="35">
        <f>1/100</f>
        <v>0.01</v>
      </c>
      <c r="F49" s="20">
        <f t="shared" si="0"/>
        <v>59.744450833333332</v>
      </c>
      <c r="H49" s="24" t="s">
        <v>47</v>
      </c>
      <c r="I49" s="25" t="s">
        <v>87</v>
      </c>
      <c r="J49" s="35">
        <f>1/100</f>
        <v>0.01</v>
      </c>
      <c r="K49" s="20">
        <f t="shared" si="1"/>
        <v>59.744450833333332</v>
      </c>
    </row>
    <row r="50" spans="3:12" x14ac:dyDescent="0.25">
      <c r="C50" s="24" t="s">
        <v>50</v>
      </c>
      <c r="D50" s="25" t="s">
        <v>88</v>
      </c>
      <c r="E50" s="35">
        <f>0.6/100</f>
        <v>6.0000000000000001E-3</v>
      </c>
      <c r="F50" s="20">
        <f t="shared" si="0"/>
        <v>35.846670500000002</v>
      </c>
      <c r="H50" s="24" t="s">
        <v>50</v>
      </c>
      <c r="I50" s="25" t="s">
        <v>88</v>
      </c>
      <c r="J50" s="35">
        <f>0.6/100</f>
        <v>6.0000000000000001E-3</v>
      </c>
      <c r="K50" s="20">
        <f t="shared" si="1"/>
        <v>35.846670500000002</v>
      </c>
    </row>
    <row r="51" spans="3:12" x14ac:dyDescent="0.25">
      <c r="C51" s="24" t="s">
        <v>52</v>
      </c>
      <c r="D51" s="25" t="s">
        <v>89</v>
      </c>
      <c r="E51" s="35">
        <f>0.2/100</f>
        <v>2E-3</v>
      </c>
      <c r="F51" s="20">
        <f t="shared" si="0"/>
        <v>11.948890166666667</v>
      </c>
      <c r="H51" s="24" t="s">
        <v>52</v>
      </c>
      <c r="I51" s="25" t="s">
        <v>89</v>
      </c>
      <c r="J51" s="35">
        <f>0.2/100</f>
        <v>2E-3</v>
      </c>
      <c r="K51" s="20">
        <f t="shared" si="1"/>
        <v>11.948890166666667</v>
      </c>
    </row>
    <row r="52" spans="3:12" x14ac:dyDescent="0.25">
      <c r="C52" s="24" t="s">
        <v>90</v>
      </c>
      <c r="D52" s="25" t="s">
        <v>91</v>
      </c>
      <c r="E52" s="35">
        <f>8/100</f>
        <v>0.08</v>
      </c>
      <c r="F52" s="20">
        <f t="shared" si="0"/>
        <v>477.95560666666665</v>
      </c>
      <c r="H52" s="24" t="s">
        <v>90</v>
      </c>
      <c r="I52" s="25" t="s">
        <v>91</v>
      </c>
      <c r="J52" s="35">
        <f>8/100</f>
        <v>0.08</v>
      </c>
      <c r="K52" s="20">
        <f t="shared" si="1"/>
        <v>477.95560666666665</v>
      </c>
    </row>
    <row r="53" spans="3:12" x14ac:dyDescent="0.25">
      <c r="C53" s="202" t="s">
        <v>80</v>
      </c>
      <c r="D53" s="204"/>
      <c r="E53" s="36">
        <v>0.36800000000000005</v>
      </c>
      <c r="F53" s="22">
        <f>SUM(F45:F52)</f>
        <v>2198.5957906666663</v>
      </c>
      <c r="H53" s="202" t="s">
        <v>80</v>
      </c>
      <c r="I53" s="204"/>
      <c r="J53" s="36">
        <v>0.36800000000000005</v>
      </c>
      <c r="K53" s="22">
        <f>SUM(K45:K52)</f>
        <v>1003.7067739999999</v>
      </c>
    </row>
    <row r="54" spans="3:12" x14ac:dyDescent="0.25">
      <c r="C54" s="193"/>
      <c r="D54" s="194"/>
      <c r="E54" s="194"/>
      <c r="F54" s="195"/>
      <c r="H54" s="193"/>
      <c r="I54" s="194"/>
      <c r="J54" s="194"/>
      <c r="K54" s="195"/>
    </row>
    <row r="55" spans="3:12" x14ac:dyDescent="0.25">
      <c r="C55" s="22" t="s">
        <v>92</v>
      </c>
      <c r="D55" s="23" t="s">
        <v>93</v>
      </c>
      <c r="E55" s="22" t="s">
        <v>94</v>
      </c>
      <c r="F55" s="22" t="s">
        <v>65</v>
      </c>
      <c r="H55" s="22" t="s">
        <v>92</v>
      </c>
      <c r="I55" s="23" t="s">
        <v>93</v>
      </c>
      <c r="J55" s="22" t="s">
        <v>94</v>
      </c>
      <c r="K55" s="22" t="s">
        <v>65</v>
      </c>
    </row>
    <row r="56" spans="3:12" x14ac:dyDescent="0.25">
      <c r="C56" s="24" t="s">
        <v>66</v>
      </c>
      <c r="D56" s="154" t="s">
        <v>1150</v>
      </c>
      <c r="E56" s="157">
        <v>3.5</v>
      </c>
      <c r="F56" s="158"/>
      <c r="H56" s="24" t="s">
        <v>66</v>
      </c>
      <c r="I56" s="25" t="s">
        <v>1150</v>
      </c>
      <c r="J56" s="37">
        <v>3.5</v>
      </c>
      <c r="K56" s="38"/>
      <c r="L56" s="153" t="s">
        <v>1145</v>
      </c>
    </row>
    <row r="57" spans="3:12" x14ac:dyDescent="0.25">
      <c r="C57" s="24" t="s">
        <v>39</v>
      </c>
      <c r="D57" s="154" t="s">
        <v>1146</v>
      </c>
      <c r="E57" s="37">
        <v>23.76</v>
      </c>
      <c r="F57" s="38">
        <f>23.76*22*0.95</f>
        <v>496.584</v>
      </c>
      <c r="H57" s="24" t="s">
        <v>39</v>
      </c>
      <c r="I57" s="25" t="s">
        <v>1146</v>
      </c>
      <c r="J57" s="37">
        <v>23.76</v>
      </c>
      <c r="K57" s="38">
        <f>23.76*22*0.95</f>
        <v>496.584</v>
      </c>
    </row>
    <row r="58" spans="3:12" x14ac:dyDescent="0.25">
      <c r="C58" s="24" t="s">
        <v>42</v>
      </c>
      <c r="D58" s="154" t="s">
        <v>1147</v>
      </c>
      <c r="E58" s="37">
        <v>164.16</v>
      </c>
      <c r="F58" s="20">
        <f>E58*1</f>
        <v>164.16</v>
      </c>
      <c r="H58" s="24" t="s">
        <v>42</v>
      </c>
      <c r="I58" s="25" t="s">
        <v>1147</v>
      </c>
      <c r="J58" s="37">
        <v>164.16</v>
      </c>
      <c r="K58" s="20">
        <f>J58*1</f>
        <v>164.16</v>
      </c>
    </row>
    <row r="59" spans="3:12" x14ac:dyDescent="0.25">
      <c r="C59" s="24" t="s">
        <v>44</v>
      </c>
      <c r="D59" s="155" t="s">
        <v>1148</v>
      </c>
      <c r="E59" s="37">
        <v>59</v>
      </c>
      <c r="F59" s="20">
        <f>E59</f>
        <v>59</v>
      </c>
      <c r="H59" s="24" t="s">
        <v>44</v>
      </c>
      <c r="I59" s="7" t="s">
        <v>160</v>
      </c>
      <c r="J59" s="157">
        <v>59</v>
      </c>
      <c r="K59" s="20">
        <f>J59</f>
        <v>59</v>
      </c>
    </row>
    <row r="60" spans="3:12" x14ac:dyDescent="0.25">
      <c r="C60" s="24" t="s">
        <v>47</v>
      </c>
      <c r="D60" s="25" t="s">
        <v>97</v>
      </c>
      <c r="E60" s="37"/>
      <c r="F60" s="20">
        <v>0</v>
      </c>
      <c r="H60" s="24" t="s">
        <v>47</v>
      </c>
      <c r="I60" s="25" t="s">
        <v>97</v>
      </c>
      <c r="J60" s="37"/>
      <c r="K60" s="20">
        <v>0</v>
      </c>
    </row>
    <row r="61" spans="3:12" x14ac:dyDescent="0.25">
      <c r="C61" s="202" t="s">
        <v>98</v>
      </c>
      <c r="D61" s="203"/>
      <c r="E61" s="204"/>
      <c r="F61" s="22">
        <f>SUM(F56:F60)</f>
        <v>719.74400000000003</v>
      </c>
      <c r="H61" s="202" t="s">
        <v>98</v>
      </c>
      <c r="I61" s="203"/>
      <c r="J61" s="204"/>
      <c r="K61" s="22">
        <f>SUM(K56:K60)</f>
        <v>719.74400000000003</v>
      </c>
    </row>
    <row r="62" spans="3:12" x14ac:dyDescent="0.25">
      <c r="C62" s="193"/>
      <c r="D62" s="194"/>
      <c r="E62" s="194"/>
      <c r="F62" s="195"/>
      <c r="H62" s="193"/>
      <c r="I62" s="194"/>
      <c r="J62" s="194"/>
      <c r="K62" s="195"/>
    </row>
    <row r="63" spans="3:12" x14ac:dyDescent="0.25">
      <c r="C63" s="202" t="s">
        <v>99</v>
      </c>
      <c r="D63" s="203"/>
      <c r="E63" s="204"/>
      <c r="F63" s="22" t="s">
        <v>65</v>
      </c>
      <c r="H63" s="202" t="s">
        <v>99</v>
      </c>
      <c r="I63" s="203"/>
      <c r="J63" s="204"/>
      <c r="K63" s="22" t="s">
        <v>65</v>
      </c>
    </row>
    <row r="64" spans="3:12" x14ac:dyDescent="0.25">
      <c r="C64" s="24" t="s">
        <v>100</v>
      </c>
      <c r="D64" s="208" t="s">
        <v>76</v>
      </c>
      <c r="E64" s="209"/>
      <c r="F64" s="20">
        <f>F42</f>
        <v>972.5840833333333</v>
      </c>
      <c r="H64" s="24" t="s">
        <v>100</v>
      </c>
      <c r="I64" s="208" t="s">
        <v>76</v>
      </c>
      <c r="J64" s="209"/>
      <c r="K64" s="20">
        <f>K42</f>
        <v>972.5840833333333</v>
      </c>
    </row>
    <row r="65" spans="2:11" x14ac:dyDescent="0.25">
      <c r="C65" s="24" t="s">
        <v>81</v>
      </c>
      <c r="D65" s="208" t="s">
        <v>82</v>
      </c>
      <c r="E65" s="209"/>
      <c r="F65" s="20">
        <f>F53</f>
        <v>2198.5957906666663</v>
      </c>
      <c r="H65" s="24" t="s">
        <v>81</v>
      </c>
      <c r="I65" s="208" t="s">
        <v>82</v>
      </c>
      <c r="J65" s="209"/>
      <c r="K65" s="20">
        <f>K53</f>
        <v>1003.7067739999999</v>
      </c>
    </row>
    <row r="66" spans="2:11" x14ac:dyDescent="0.25">
      <c r="C66" s="24" t="s">
        <v>101</v>
      </c>
      <c r="D66" s="208" t="s">
        <v>93</v>
      </c>
      <c r="E66" s="209"/>
      <c r="F66" s="20">
        <f>F61</f>
        <v>719.74400000000003</v>
      </c>
      <c r="H66" s="24" t="s">
        <v>101</v>
      </c>
      <c r="I66" s="208" t="s">
        <v>93</v>
      </c>
      <c r="J66" s="209"/>
      <c r="K66" s="20">
        <f>K61</f>
        <v>719.74400000000003</v>
      </c>
    </row>
    <row r="67" spans="2:11" x14ac:dyDescent="0.25">
      <c r="C67" s="202" t="s">
        <v>80</v>
      </c>
      <c r="D67" s="203"/>
      <c r="E67" s="204"/>
      <c r="F67" s="22">
        <f>SUM(F64:F66)</f>
        <v>3890.9238739999996</v>
      </c>
      <c r="H67" s="202" t="s">
        <v>80</v>
      </c>
      <c r="I67" s="203"/>
      <c r="J67" s="204"/>
      <c r="K67" s="22">
        <f>SUM(K64:K66)</f>
        <v>2696.0348573333331</v>
      </c>
    </row>
    <row r="68" spans="2:11" x14ac:dyDescent="0.25">
      <c r="C68" s="193"/>
      <c r="D68" s="194"/>
      <c r="E68" s="194"/>
      <c r="F68" s="195"/>
      <c r="H68" s="193"/>
      <c r="I68" s="194"/>
      <c r="J68" s="194"/>
      <c r="K68" s="195"/>
    </row>
    <row r="69" spans="2:11" x14ac:dyDescent="0.25">
      <c r="C69" s="190" t="s">
        <v>102</v>
      </c>
      <c r="D69" s="191"/>
      <c r="E69" s="191"/>
      <c r="F69" s="192"/>
      <c r="H69" s="190" t="s">
        <v>102</v>
      </c>
      <c r="I69" s="191"/>
      <c r="J69" s="191"/>
      <c r="K69" s="192"/>
    </row>
    <row r="70" spans="2:11" x14ac:dyDescent="0.25">
      <c r="C70" s="193"/>
      <c r="D70" s="194"/>
      <c r="E70" s="194"/>
      <c r="F70" s="195"/>
      <c r="H70" s="193"/>
      <c r="I70" s="194"/>
      <c r="J70" s="194"/>
      <c r="K70" s="195"/>
    </row>
    <row r="71" spans="2:11" x14ac:dyDescent="0.25">
      <c r="C71" s="12">
        <v>3</v>
      </c>
      <c r="D71" s="23" t="s">
        <v>103</v>
      </c>
      <c r="E71" s="22" t="s">
        <v>77</v>
      </c>
      <c r="F71" s="22" t="s">
        <v>65</v>
      </c>
      <c r="H71" s="12">
        <v>3</v>
      </c>
      <c r="I71" s="23" t="s">
        <v>103</v>
      </c>
      <c r="J71" s="22" t="s">
        <v>77</v>
      </c>
      <c r="K71" s="22" t="s">
        <v>65</v>
      </c>
    </row>
    <row r="72" spans="2:11" x14ac:dyDescent="0.25">
      <c r="B72" s="129" t="s">
        <v>201</v>
      </c>
      <c r="C72" s="24" t="s">
        <v>66</v>
      </c>
      <c r="D72" s="25" t="s">
        <v>104</v>
      </c>
      <c r="E72" s="35">
        <f>0.42/100</f>
        <v>4.1999999999999997E-3</v>
      </c>
      <c r="F72" s="20">
        <f>E72*F35</f>
        <v>21.007816199999997</v>
      </c>
      <c r="H72" s="24" t="s">
        <v>66</v>
      </c>
      <c r="I72" s="25" t="s">
        <v>104</v>
      </c>
      <c r="J72" s="35">
        <f>0.42/100</f>
        <v>4.1999999999999997E-3</v>
      </c>
      <c r="K72" s="20">
        <f>J72*K35</f>
        <v>21.007816199999997</v>
      </c>
    </row>
    <row r="73" spans="2:11" x14ac:dyDescent="0.25">
      <c r="B73" s="129" t="s">
        <v>1085</v>
      </c>
      <c r="C73" s="24" t="s">
        <v>39</v>
      </c>
      <c r="D73" s="25" t="s">
        <v>105</v>
      </c>
      <c r="E73" s="35">
        <f>0.08*E72</f>
        <v>3.3599999999999998E-4</v>
      </c>
      <c r="F73" s="20">
        <f>E73*F35</f>
        <v>1.6806252959999999</v>
      </c>
      <c r="H73" s="24" t="s">
        <v>39</v>
      </c>
      <c r="I73" s="25" t="s">
        <v>105</v>
      </c>
      <c r="J73" s="35">
        <f>0.08*J72</f>
        <v>3.3599999999999998E-4</v>
      </c>
      <c r="K73" s="20">
        <f>J73*K35</f>
        <v>1.6806252959999999</v>
      </c>
    </row>
    <row r="74" spans="2:11" x14ac:dyDescent="0.25">
      <c r="B74" s="129" t="s">
        <v>202</v>
      </c>
      <c r="C74" s="24" t="s">
        <v>42</v>
      </c>
      <c r="D74" s="25" t="s">
        <v>106</v>
      </c>
      <c r="E74" s="35">
        <f>0.4*0.08*0.05</f>
        <v>1.6000000000000001E-3</v>
      </c>
      <c r="F74" s="20">
        <f>F35*E74</f>
        <v>8.0029775999999995</v>
      </c>
      <c r="H74" s="24" t="s">
        <v>42</v>
      </c>
      <c r="I74" s="25" t="s">
        <v>106</v>
      </c>
      <c r="J74" s="35">
        <f>0.4*0.08*0.05</f>
        <v>1.6000000000000001E-3</v>
      </c>
      <c r="K74" s="20">
        <f>K35*J74</f>
        <v>8.0029775999999995</v>
      </c>
    </row>
    <row r="75" spans="2:11" x14ac:dyDescent="0.25">
      <c r="B75" s="129" t="s">
        <v>203</v>
      </c>
      <c r="C75" s="24" t="s">
        <v>44</v>
      </c>
      <c r="D75" s="25" t="s">
        <v>198</v>
      </c>
      <c r="E75" s="35">
        <f>((7/30)/12)</f>
        <v>1.9444444444444445E-2</v>
      </c>
      <c r="F75" s="20">
        <f>E75*F35</f>
        <v>97.258408333333335</v>
      </c>
      <c r="H75" s="24" t="s">
        <v>44</v>
      </c>
      <c r="I75" s="25" t="s">
        <v>198</v>
      </c>
      <c r="J75" s="35">
        <f>((7/30)/12)</f>
        <v>1.9444444444444445E-2</v>
      </c>
      <c r="K75" s="20">
        <f>J75*K35</f>
        <v>97.258408333333335</v>
      </c>
    </row>
    <row r="76" spans="2:11" ht="25.5" x14ac:dyDescent="0.25">
      <c r="B76" s="129" t="s">
        <v>1087</v>
      </c>
      <c r="C76" s="24" t="s">
        <v>47</v>
      </c>
      <c r="D76" s="25" t="s">
        <v>108</v>
      </c>
      <c r="E76" s="35">
        <f>0.368*E75</f>
        <v>7.1555555555555556E-3</v>
      </c>
      <c r="F76" s="20">
        <f>F35*E76</f>
        <v>35.791094266666668</v>
      </c>
      <c r="H76" s="24" t="s">
        <v>47</v>
      </c>
      <c r="I76" s="25" t="s">
        <v>108</v>
      </c>
      <c r="J76" s="35">
        <f>0.368*J75</f>
        <v>7.1555555555555556E-3</v>
      </c>
      <c r="K76" s="20">
        <f>K35*J76</f>
        <v>35.791094266666668</v>
      </c>
    </row>
    <row r="77" spans="2:11" x14ac:dyDescent="0.25">
      <c r="B77" s="129" t="s">
        <v>204</v>
      </c>
      <c r="C77" s="24" t="s">
        <v>50</v>
      </c>
      <c r="D77" s="25" t="s">
        <v>109</v>
      </c>
      <c r="E77" s="35">
        <f>0.4*0.08*0.95</f>
        <v>3.04E-2</v>
      </c>
      <c r="F77" s="20">
        <f>F35*E77</f>
        <v>152.05657439999999</v>
      </c>
      <c r="H77" s="24" t="s">
        <v>50</v>
      </c>
      <c r="I77" s="25" t="s">
        <v>109</v>
      </c>
      <c r="J77" s="35">
        <f>0.4*0.08*0.95</f>
        <v>3.04E-2</v>
      </c>
      <c r="K77" s="20">
        <f>K35*J77</f>
        <v>152.05657439999999</v>
      </c>
    </row>
    <row r="78" spans="2:11" x14ac:dyDescent="0.25">
      <c r="C78" s="202" t="s">
        <v>110</v>
      </c>
      <c r="D78" s="203"/>
      <c r="E78" s="204"/>
      <c r="F78" s="22">
        <f>SUM(F72:F77)</f>
        <v>315.79749609600003</v>
      </c>
      <c r="H78" s="202" t="s">
        <v>110</v>
      </c>
      <c r="I78" s="203"/>
      <c r="J78" s="204"/>
      <c r="K78" s="22">
        <f>SUM(K72:K77)</f>
        <v>315.79749609600003</v>
      </c>
    </row>
    <row r="79" spans="2:11" x14ac:dyDescent="0.25">
      <c r="C79" s="193"/>
      <c r="D79" s="194"/>
      <c r="E79" s="194"/>
      <c r="F79" s="195"/>
      <c r="H79" s="193"/>
      <c r="I79" s="194"/>
      <c r="J79" s="194"/>
      <c r="K79" s="195"/>
    </row>
    <row r="80" spans="2:11" x14ac:dyDescent="0.25">
      <c r="C80" s="190" t="s">
        <v>111</v>
      </c>
      <c r="D80" s="191"/>
      <c r="E80" s="191"/>
      <c r="F80" s="192"/>
      <c r="H80" s="190" t="s">
        <v>111</v>
      </c>
      <c r="I80" s="191"/>
      <c r="J80" s="191"/>
      <c r="K80" s="192"/>
    </row>
    <row r="81" spans="3:11" x14ac:dyDescent="0.25">
      <c r="C81" s="210"/>
      <c r="D81" s="211"/>
      <c r="E81" s="211"/>
      <c r="F81" s="212"/>
      <c r="H81" s="210"/>
      <c r="I81" s="211"/>
      <c r="J81" s="211"/>
      <c r="K81" s="212"/>
    </row>
    <row r="82" spans="3:11" x14ac:dyDescent="0.25">
      <c r="C82" s="22" t="s">
        <v>112</v>
      </c>
      <c r="D82" s="23" t="s">
        <v>113</v>
      </c>
      <c r="E82" s="26" t="s">
        <v>77</v>
      </c>
      <c r="F82" s="22" t="s">
        <v>65</v>
      </c>
      <c r="H82" s="22" t="s">
        <v>112</v>
      </c>
      <c r="I82" s="23" t="s">
        <v>113</v>
      </c>
      <c r="J82" s="26" t="s">
        <v>77</v>
      </c>
      <c r="K82" s="22" t="s">
        <v>65</v>
      </c>
    </row>
    <row r="83" spans="3:11" x14ac:dyDescent="0.25">
      <c r="C83" s="24" t="s">
        <v>66</v>
      </c>
      <c r="D83" s="25" t="s">
        <v>114</v>
      </c>
      <c r="E83" s="35">
        <f>(((1+1/3)/12)/12)</f>
        <v>9.2592592592592587E-3</v>
      </c>
      <c r="F83" s="20">
        <f>($F$78+$F$67+$F$35)*E83</f>
        <v>85.264651574962954</v>
      </c>
      <c r="H83" s="24" t="s">
        <v>66</v>
      </c>
      <c r="I83" s="25" t="s">
        <v>114</v>
      </c>
      <c r="J83" s="35">
        <f>(((1+1/3)/12)/12)</f>
        <v>9.2592592592592587E-3</v>
      </c>
      <c r="K83" s="20">
        <f>($F$78+$F$67+$F$35)*J83</f>
        <v>85.264651574962954</v>
      </c>
    </row>
    <row r="84" spans="3:11" x14ac:dyDescent="0.25">
      <c r="C84" s="24" t="s">
        <v>39</v>
      </c>
      <c r="D84" s="25" t="s">
        <v>115</v>
      </c>
      <c r="E84" s="35">
        <f>((2/30)/12)</f>
        <v>5.5555555555555558E-3</v>
      </c>
      <c r="F84" s="20">
        <f t="shared" ref="F84:F88" si="2">($F$78+$F$67+$F$35)*E84</f>
        <v>51.158790944977774</v>
      </c>
      <c r="H84" s="24" t="s">
        <v>39</v>
      </c>
      <c r="I84" s="25" t="s">
        <v>115</v>
      </c>
      <c r="J84" s="35">
        <f>((2/30)/12)</f>
        <v>5.5555555555555558E-3</v>
      </c>
      <c r="K84" s="20">
        <f t="shared" ref="K84:K88" si="3">($F$78+$F$67+$F$35)*J84</f>
        <v>51.158790944977774</v>
      </c>
    </row>
    <row r="85" spans="3:11" x14ac:dyDescent="0.25">
      <c r="C85" s="24" t="s">
        <v>42</v>
      </c>
      <c r="D85" s="25" t="s">
        <v>116</v>
      </c>
      <c r="E85" s="52">
        <f>((5/30)/12)*0.015</f>
        <v>2.0833333333333332E-4</v>
      </c>
      <c r="F85" s="20">
        <f t="shared" si="2"/>
        <v>1.9184546604366663</v>
      </c>
      <c r="H85" s="24" t="s">
        <v>42</v>
      </c>
      <c r="I85" s="25" t="s">
        <v>116</v>
      </c>
      <c r="J85" s="52">
        <f>((5/30)/12)*0.015</f>
        <v>2.0833333333333332E-4</v>
      </c>
      <c r="K85" s="20">
        <f t="shared" si="3"/>
        <v>1.9184546604366663</v>
      </c>
    </row>
    <row r="86" spans="3:11" x14ac:dyDescent="0.25">
      <c r="C86" s="24" t="s">
        <v>44</v>
      </c>
      <c r="D86" s="25" t="s">
        <v>117</v>
      </c>
      <c r="E86" s="35">
        <f>(((15/30)/12)*0.08)</f>
        <v>3.3333333333333331E-3</v>
      </c>
      <c r="F86" s="20">
        <f t="shared" si="2"/>
        <v>30.695274566986662</v>
      </c>
      <c r="H86" s="24" t="s">
        <v>44</v>
      </c>
      <c r="I86" s="25" t="s">
        <v>117</v>
      </c>
      <c r="J86" s="35">
        <f>(((15/30)/12)*0.08)</f>
        <v>3.3333333333333331E-3</v>
      </c>
      <c r="K86" s="20">
        <f t="shared" si="3"/>
        <v>30.695274566986662</v>
      </c>
    </row>
    <row r="87" spans="3:11" x14ac:dyDescent="0.25">
      <c r="C87" s="24" t="s">
        <v>47</v>
      </c>
      <c r="D87" s="25" t="s">
        <v>118</v>
      </c>
      <c r="E87" s="52">
        <f>0.0144*0.1*0.4509*6/12</f>
        <v>3.2464800000000003E-4</v>
      </c>
      <c r="F87" s="20">
        <f t="shared" si="2"/>
        <v>2.9895478492869261</v>
      </c>
      <c r="H87" s="24" t="s">
        <v>47</v>
      </c>
      <c r="I87" s="25" t="s">
        <v>118</v>
      </c>
      <c r="J87" s="52">
        <f>0.0144*0.1*0.4509*6/12</f>
        <v>3.2464800000000003E-4</v>
      </c>
      <c r="K87" s="20">
        <f t="shared" si="3"/>
        <v>2.9895478492869261</v>
      </c>
    </row>
    <row r="88" spans="3:11" x14ac:dyDescent="0.25">
      <c r="C88" s="24" t="s">
        <v>50</v>
      </c>
      <c r="D88" s="25" t="s">
        <v>119</v>
      </c>
      <c r="E88" s="35">
        <v>0</v>
      </c>
      <c r="F88" s="20">
        <f t="shared" si="2"/>
        <v>0</v>
      </c>
      <c r="H88" s="24" t="s">
        <v>50</v>
      </c>
      <c r="I88" s="25" t="s">
        <v>119</v>
      </c>
      <c r="J88" s="35">
        <v>0</v>
      </c>
      <c r="K88" s="20">
        <f t="shared" si="3"/>
        <v>0</v>
      </c>
    </row>
    <row r="89" spans="3:11" x14ac:dyDescent="0.25">
      <c r="C89" s="202" t="s">
        <v>80</v>
      </c>
      <c r="D89" s="203"/>
      <c r="E89" s="204"/>
      <c r="F89" s="22">
        <f>SUM(F83:F88)</f>
        <v>172.02671959665099</v>
      </c>
      <c r="H89" s="202" t="s">
        <v>80</v>
      </c>
      <c r="I89" s="203"/>
      <c r="J89" s="204"/>
      <c r="K89" s="22">
        <f>SUM(K83:K88)</f>
        <v>172.02671959665099</v>
      </c>
    </row>
    <row r="90" spans="3:11" x14ac:dyDescent="0.25">
      <c r="C90" s="193"/>
      <c r="D90" s="194"/>
      <c r="E90" s="194"/>
      <c r="F90" s="195"/>
      <c r="H90" s="193"/>
      <c r="I90" s="194"/>
      <c r="J90" s="194"/>
      <c r="K90" s="195"/>
    </row>
    <row r="91" spans="3:11" x14ac:dyDescent="0.25">
      <c r="C91" s="27" t="s">
        <v>120</v>
      </c>
      <c r="D91" s="27" t="s">
        <v>121</v>
      </c>
      <c r="E91" s="26" t="s">
        <v>77</v>
      </c>
      <c r="F91" s="22" t="s">
        <v>65</v>
      </c>
      <c r="H91" s="27" t="s">
        <v>120</v>
      </c>
      <c r="I91" s="27" t="s">
        <v>121</v>
      </c>
      <c r="J91" s="26" t="s">
        <v>77</v>
      </c>
      <c r="K91" s="22" t="s">
        <v>65</v>
      </c>
    </row>
    <row r="92" spans="3:11" x14ac:dyDescent="0.25">
      <c r="C92" s="20" t="s">
        <v>66</v>
      </c>
      <c r="D92" s="21" t="s">
        <v>122</v>
      </c>
      <c r="E92" s="28">
        <v>0</v>
      </c>
      <c r="F92" s="20">
        <v>0</v>
      </c>
      <c r="H92" s="20" t="s">
        <v>66</v>
      </c>
      <c r="I92" s="21" t="s">
        <v>122</v>
      </c>
      <c r="J92" s="28">
        <v>0</v>
      </c>
      <c r="K92" s="20">
        <v>0</v>
      </c>
    </row>
    <row r="93" spans="3:11" x14ac:dyDescent="0.25">
      <c r="C93" s="202" t="s">
        <v>80</v>
      </c>
      <c r="D93" s="204"/>
      <c r="E93" s="39">
        <v>0</v>
      </c>
      <c r="F93" s="22">
        <v>0</v>
      </c>
      <c r="H93" s="202" t="s">
        <v>80</v>
      </c>
      <c r="I93" s="204"/>
      <c r="J93" s="39">
        <v>0</v>
      </c>
      <c r="K93" s="22">
        <v>0</v>
      </c>
    </row>
    <row r="94" spans="3:11" x14ac:dyDescent="0.25">
      <c r="C94" s="193"/>
      <c r="D94" s="194"/>
      <c r="E94" s="194"/>
      <c r="F94" s="195"/>
      <c r="H94" s="193"/>
      <c r="I94" s="194"/>
      <c r="J94" s="194"/>
      <c r="K94" s="195"/>
    </row>
    <row r="95" spans="3:11" x14ac:dyDescent="0.25">
      <c r="C95" s="202" t="s">
        <v>123</v>
      </c>
      <c r="D95" s="203"/>
      <c r="E95" s="204"/>
      <c r="F95" s="22" t="s">
        <v>65</v>
      </c>
      <c r="H95" s="202" t="s">
        <v>123</v>
      </c>
      <c r="I95" s="203"/>
      <c r="J95" s="204"/>
      <c r="K95" s="22" t="s">
        <v>65</v>
      </c>
    </row>
    <row r="96" spans="3:11" x14ac:dyDescent="0.25">
      <c r="C96" s="20" t="s">
        <v>112</v>
      </c>
      <c r="D96" s="213" t="s">
        <v>113</v>
      </c>
      <c r="E96" s="214"/>
      <c r="F96" s="20">
        <f>F89</f>
        <v>172.02671959665099</v>
      </c>
      <c r="H96" s="20" t="s">
        <v>112</v>
      </c>
      <c r="I96" s="213" t="s">
        <v>113</v>
      </c>
      <c r="J96" s="214"/>
      <c r="K96" s="20">
        <f>K89</f>
        <v>172.02671959665099</v>
      </c>
    </row>
    <row r="97" spans="3:11" x14ac:dyDescent="0.25">
      <c r="C97" s="20" t="s">
        <v>120</v>
      </c>
      <c r="D97" s="213" t="s">
        <v>121</v>
      </c>
      <c r="E97" s="214"/>
      <c r="F97" s="20">
        <v>0</v>
      </c>
      <c r="H97" s="20" t="s">
        <v>120</v>
      </c>
      <c r="I97" s="213" t="s">
        <v>121</v>
      </c>
      <c r="J97" s="214"/>
      <c r="K97" s="20">
        <v>0</v>
      </c>
    </row>
    <row r="98" spans="3:11" x14ac:dyDescent="0.25">
      <c r="C98" s="202" t="s">
        <v>124</v>
      </c>
      <c r="D98" s="203"/>
      <c r="E98" s="204"/>
      <c r="F98" s="22">
        <f>SUM(F96:F97)</f>
        <v>172.02671959665099</v>
      </c>
      <c r="H98" s="202" t="s">
        <v>124</v>
      </c>
      <c r="I98" s="203"/>
      <c r="J98" s="204"/>
      <c r="K98" s="22">
        <f>SUM(K96:K97)</f>
        <v>172.02671959665099</v>
      </c>
    </row>
    <row r="99" spans="3:11" x14ac:dyDescent="0.25">
      <c r="C99" s="193"/>
      <c r="D99" s="194"/>
      <c r="E99" s="194"/>
      <c r="F99" s="195"/>
      <c r="H99" s="193"/>
      <c r="I99" s="194"/>
      <c r="J99" s="194"/>
      <c r="K99" s="195"/>
    </row>
    <row r="100" spans="3:11" x14ac:dyDescent="0.25">
      <c r="C100" s="190" t="s">
        <v>125</v>
      </c>
      <c r="D100" s="191"/>
      <c r="E100" s="191"/>
      <c r="F100" s="192"/>
      <c r="H100" s="190" t="s">
        <v>125</v>
      </c>
      <c r="I100" s="191"/>
      <c r="J100" s="191"/>
      <c r="K100" s="192"/>
    </row>
    <row r="101" spans="3:11" x14ac:dyDescent="0.25">
      <c r="C101" s="210"/>
      <c r="D101" s="211"/>
      <c r="E101" s="211"/>
      <c r="F101" s="212"/>
      <c r="H101" s="210"/>
      <c r="I101" s="211"/>
      <c r="J101" s="211"/>
      <c r="K101" s="212"/>
    </row>
    <row r="102" spans="3:11" x14ac:dyDescent="0.25">
      <c r="C102" s="12">
        <v>5</v>
      </c>
      <c r="D102" s="202" t="s">
        <v>126</v>
      </c>
      <c r="E102" s="204"/>
      <c r="F102" s="22" t="s">
        <v>65</v>
      </c>
      <c r="H102" s="12">
        <v>5</v>
      </c>
      <c r="I102" s="202" t="s">
        <v>126</v>
      </c>
      <c r="J102" s="204"/>
      <c r="K102" s="22" t="s">
        <v>65</v>
      </c>
    </row>
    <row r="103" spans="3:11" x14ac:dyDescent="0.25">
      <c r="C103" s="24" t="s">
        <v>66</v>
      </c>
      <c r="D103" s="216" t="s">
        <v>127</v>
      </c>
      <c r="E103" s="217"/>
      <c r="F103" s="20">
        <f>UNIFORMES!E9</f>
        <v>75.355555555555569</v>
      </c>
      <c r="H103" s="24" t="s">
        <v>66</v>
      </c>
      <c r="I103" s="216" t="s">
        <v>127</v>
      </c>
      <c r="J103" s="217"/>
      <c r="K103" s="118">
        <f>UNIFORMES!E9</f>
        <v>75.355555555555569</v>
      </c>
    </row>
    <row r="104" spans="3:11" x14ac:dyDescent="0.25">
      <c r="C104" s="24" t="s">
        <v>39</v>
      </c>
      <c r="D104" s="29" t="s">
        <v>128</v>
      </c>
      <c r="E104" s="30"/>
      <c r="F104" s="20">
        <v>0</v>
      </c>
      <c r="H104" s="24" t="s">
        <v>39</v>
      </c>
      <c r="I104" s="29" t="s">
        <v>128</v>
      </c>
      <c r="J104" s="30"/>
      <c r="K104" s="20">
        <v>0</v>
      </c>
    </row>
    <row r="105" spans="3:11" x14ac:dyDescent="0.25">
      <c r="C105" s="24" t="s">
        <v>42</v>
      </c>
      <c r="D105" s="216" t="s">
        <v>129</v>
      </c>
      <c r="E105" s="217"/>
      <c r="F105" s="118">
        <f>'Ferramentas de Uso Geral'!E60</f>
        <v>39.018233333333328</v>
      </c>
      <c r="H105" s="24" t="s">
        <v>42</v>
      </c>
      <c r="I105" s="216" t="s">
        <v>129</v>
      </c>
      <c r="J105" s="217"/>
      <c r="K105" s="118">
        <f>'Ferramentas de Uso Geral'!E60</f>
        <v>39.018233333333328</v>
      </c>
    </row>
    <row r="106" spans="3:11" x14ac:dyDescent="0.25">
      <c r="C106" s="24" t="s">
        <v>44</v>
      </c>
      <c r="D106" s="216" t="s">
        <v>130</v>
      </c>
      <c r="E106" s="217"/>
      <c r="F106" s="20">
        <v>0</v>
      </c>
      <c r="H106" s="24" t="s">
        <v>44</v>
      </c>
      <c r="I106" s="216" t="s">
        <v>130</v>
      </c>
      <c r="J106" s="217"/>
      <c r="K106" s="20">
        <v>0</v>
      </c>
    </row>
    <row r="107" spans="3:11" x14ac:dyDescent="0.25">
      <c r="C107" s="202" t="s">
        <v>131</v>
      </c>
      <c r="D107" s="203"/>
      <c r="E107" s="204"/>
      <c r="F107" s="22">
        <f>SUM(F103:F106)</f>
        <v>114.3737888888889</v>
      </c>
      <c r="H107" s="202" t="s">
        <v>131</v>
      </c>
      <c r="I107" s="203"/>
      <c r="J107" s="204"/>
      <c r="K107" s="22">
        <f>SUM(K103:K106)</f>
        <v>114.3737888888889</v>
      </c>
    </row>
    <row r="108" spans="3:11" x14ac:dyDescent="0.25">
      <c r="C108" s="193"/>
      <c r="D108" s="194"/>
      <c r="E108" s="194"/>
      <c r="F108" s="195"/>
      <c r="H108" s="193"/>
      <c r="I108" s="194"/>
      <c r="J108" s="194"/>
      <c r="K108" s="195"/>
    </row>
    <row r="109" spans="3:11" x14ac:dyDescent="0.25">
      <c r="C109" s="215" t="s">
        <v>132</v>
      </c>
      <c r="D109" s="215"/>
      <c r="E109" s="215"/>
      <c r="F109" s="41">
        <f>F107+F98+F78+F35+F67</f>
        <v>9494.9828785815389</v>
      </c>
      <c r="H109" s="215" t="s">
        <v>132</v>
      </c>
      <c r="I109" s="215"/>
      <c r="J109" s="215"/>
      <c r="K109" s="41">
        <f>K107+K98+K78+K35+K67</f>
        <v>8300.0938619148728</v>
      </c>
    </row>
    <row r="110" spans="3:11" x14ac:dyDescent="0.25">
      <c r="C110" s="189"/>
      <c r="D110" s="189"/>
      <c r="E110" s="189"/>
      <c r="F110" s="189"/>
      <c r="H110" s="189"/>
      <c r="I110" s="189"/>
      <c r="J110" s="189"/>
      <c r="K110" s="189"/>
    </row>
    <row r="111" spans="3:11" x14ac:dyDescent="0.25">
      <c r="C111" s="228" t="s">
        <v>133</v>
      </c>
      <c r="D111" s="228"/>
      <c r="E111" s="228"/>
      <c r="F111" s="228"/>
      <c r="H111" s="228" t="s">
        <v>133</v>
      </c>
      <c r="I111" s="228"/>
      <c r="J111" s="228"/>
      <c r="K111" s="228"/>
    </row>
    <row r="112" spans="3:11" x14ac:dyDescent="0.25">
      <c r="C112" s="193"/>
      <c r="D112" s="194"/>
      <c r="E112" s="194"/>
      <c r="F112" s="195"/>
      <c r="H112" s="193"/>
      <c r="I112" s="194"/>
      <c r="J112" s="194"/>
      <c r="K112" s="195"/>
    </row>
    <row r="113" spans="3:12" x14ac:dyDescent="0.25">
      <c r="C113" s="12">
        <v>6</v>
      </c>
      <c r="D113" s="40" t="s">
        <v>134</v>
      </c>
      <c r="E113" s="22" t="s">
        <v>77</v>
      </c>
      <c r="F113" s="22" t="s">
        <v>65</v>
      </c>
      <c r="H113" s="12">
        <v>6</v>
      </c>
      <c r="I113" s="40" t="s">
        <v>134</v>
      </c>
      <c r="J113" s="22" t="s">
        <v>77</v>
      </c>
      <c r="K113" s="22" t="s">
        <v>65</v>
      </c>
    </row>
    <row r="114" spans="3:12" x14ac:dyDescent="0.25">
      <c r="C114" s="24" t="s">
        <v>66</v>
      </c>
      <c r="D114" s="25" t="s">
        <v>135</v>
      </c>
      <c r="E114" s="35">
        <f>6.06/100</f>
        <v>6.0599999999999994E-2</v>
      </c>
      <c r="F114" s="20">
        <f>E114*F109</f>
        <v>575.3959624420412</v>
      </c>
      <c r="H114" s="24" t="s">
        <v>66</v>
      </c>
      <c r="I114" s="25" t="s">
        <v>135</v>
      </c>
      <c r="J114" s="35">
        <f>6.06/100</f>
        <v>6.0599999999999994E-2</v>
      </c>
      <c r="K114" s="20">
        <f>J114*K109</f>
        <v>502.98568803204125</v>
      </c>
    </row>
    <row r="115" spans="3:12" x14ac:dyDescent="0.25">
      <c r="C115" s="24" t="s">
        <v>39</v>
      </c>
      <c r="D115" s="25" t="s">
        <v>136</v>
      </c>
      <c r="E115" s="35">
        <f>7.4/100</f>
        <v>7.400000000000001E-2</v>
      </c>
      <c r="F115" s="20">
        <f>E115*(F109+F114)</f>
        <v>745.208034235745</v>
      </c>
      <c r="H115" s="24" t="s">
        <v>39</v>
      </c>
      <c r="I115" s="25" t="s">
        <v>136</v>
      </c>
      <c r="J115" s="35">
        <f>7.4/100</f>
        <v>7.400000000000001E-2</v>
      </c>
      <c r="K115" s="20">
        <f>J115*(K109+K114)</f>
        <v>651.42788669607171</v>
      </c>
    </row>
    <row r="116" spans="3:12" x14ac:dyDescent="0.25">
      <c r="C116" s="24" t="s">
        <v>42</v>
      </c>
      <c r="D116" s="208" t="s">
        <v>137</v>
      </c>
      <c r="E116" s="218"/>
      <c r="F116" s="209"/>
      <c r="H116" s="24" t="s">
        <v>42</v>
      </c>
      <c r="I116" s="208" t="s">
        <v>137</v>
      </c>
      <c r="J116" s="218"/>
      <c r="K116" s="209"/>
    </row>
    <row r="117" spans="3:12" x14ac:dyDescent="0.25">
      <c r="C117" s="24" t="s">
        <v>138</v>
      </c>
      <c r="D117" s="7" t="s">
        <v>205</v>
      </c>
      <c r="E117" s="219">
        <v>7.6499999999999999E-2</v>
      </c>
      <c r="F117" s="222">
        <f>((F114+F109+F115)/(1-E117))-(F109+F115+F114)</f>
        <v>895.93112718715565</v>
      </c>
      <c r="H117" s="24" t="s">
        <v>138</v>
      </c>
      <c r="I117" s="7" t="s">
        <v>205</v>
      </c>
      <c r="J117" s="219">
        <v>8.6499999999999994E-2</v>
      </c>
      <c r="K117" s="222">
        <f>((K114+K109+K115)/(1-J117))-(K109+K115+K114)</f>
        <v>895.25439876257951</v>
      </c>
    </row>
    <row r="118" spans="3:12" x14ac:dyDescent="0.25">
      <c r="C118" s="24" t="s">
        <v>139</v>
      </c>
      <c r="D118" s="7" t="s">
        <v>206</v>
      </c>
      <c r="E118" s="220"/>
      <c r="F118" s="223"/>
      <c r="H118" s="24" t="s">
        <v>139</v>
      </c>
      <c r="I118" s="7" t="s">
        <v>206</v>
      </c>
      <c r="J118" s="220"/>
      <c r="K118" s="223"/>
      <c r="L118" s="160"/>
    </row>
    <row r="119" spans="3:12" x14ac:dyDescent="0.25">
      <c r="C119" s="24" t="s">
        <v>140</v>
      </c>
      <c r="D119" s="155" t="s">
        <v>216</v>
      </c>
      <c r="E119" s="221"/>
      <c r="F119" s="224"/>
      <c r="H119" s="24" t="s">
        <v>140</v>
      </c>
      <c r="I119" s="155" t="s">
        <v>216</v>
      </c>
      <c r="J119" s="221"/>
      <c r="K119" s="224"/>
    </row>
    <row r="120" spans="3:12" x14ac:dyDescent="0.25">
      <c r="C120" s="229" t="s">
        <v>141</v>
      </c>
      <c r="D120" s="230"/>
      <c r="E120" s="231"/>
      <c r="F120" s="22">
        <f>SUM(F114,F115,F117,F118,F119)</f>
        <v>2216.5351238649419</v>
      </c>
      <c r="H120" s="229" t="s">
        <v>141</v>
      </c>
      <c r="I120" s="230"/>
      <c r="J120" s="231"/>
      <c r="K120" s="22">
        <f>SUM(K114,K115,K117,K118,K119)</f>
        <v>2049.6679734906925</v>
      </c>
    </row>
    <row r="121" spans="3:12" x14ac:dyDescent="0.25">
      <c r="C121" s="193"/>
      <c r="D121" s="194"/>
      <c r="E121" s="194"/>
      <c r="F121" s="195"/>
      <c r="H121" s="193"/>
      <c r="I121" s="194"/>
      <c r="J121" s="194"/>
      <c r="K121" s="195"/>
    </row>
    <row r="122" spans="3:12" x14ac:dyDescent="0.25">
      <c r="C122" s="232" t="s">
        <v>142</v>
      </c>
      <c r="D122" s="233"/>
      <c r="E122" s="234"/>
      <c r="F122" s="43" t="s">
        <v>65</v>
      </c>
      <c r="H122" s="232" t="s">
        <v>142</v>
      </c>
      <c r="I122" s="233"/>
      <c r="J122" s="234"/>
      <c r="K122" s="43" t="s">
        <v>65</v>
      </c>
    </row>
    <row r="123" spans="3:12" x14ac:dyDescent="0.25">
      <c r="C123" s="180" t="s">
        <v>143</v>
      </c>
      <c r="D123" s="181"/>
      <c r="E123" s="181"/>
      <c r="F123" s="182"/>
      <c r="H123" s="180" t="s">
        <v>143</v>
      </c>
      <c r="I123" s="181"/>
      <c r="J123" s="181"/>
      <c r="K123" s="182"/>
    </row>
    <row r="124" spans="3:12" x14ac:dyDescent="0.25">
      <c r="C124" s="6" t="s">
        <v>66</v>
      </c>
      <c r="D124" s="183" t="s">
        <v>144</v>
      </c>
      <c r="E124" s="184"/>
      <c r="F124" s="20">
        <f>F35</f>
        <v>5001.8609999999999</v>
      </c>
      <c r="H124" s="6" t="s">
        <v>66</v>
      </c>
      <c r="I124" s="183" t="s">
        <v>144</v>
      </c>
      <c r="J124" s="184"/>
      <c r="K124" s="20">
        <f>K35</f>
        <v>5001.8609999999999</v>
      </c>
    </row>
    <row r="125" spans="3:12" x14ac:dyDescent="0.25">
      <c r="C125" s="6" t="s">
        <v>39</v>
      </c>
      <c r="D125" s="183" t="s">
        <v>145</v>
      </c>
      <c r="E125" s="184"/>
      <c r="F125" s="20">
        <f>F67</f>
        <v>3890.9238739999996</v>
      </c>
      <c r="H125" s="6" t="s">
        <v>39</v>
      </c>
      <c r="I125" s="183" t="s">
        <v>145</v>
      </c>
      <c r="J125" s="184"/>
      <c r="K125" s="20">
        <f>K67</f>
        <v>2696.0348573333331</v>
      </c>
    </row>
    <row r="126" spans="3:12" x14ac:dyDescent="0.25">
      <c r="C126" s="6" t="s">
        <v>42</v>
      </c>
      <c r="D126" s="183" t="s">
        <v>146</v>
      </c>
      <c r="E126" s="184"/>
      <c r="F126" s="20">
        <f>F78</f>
        <v>315.79749609600003</v>
      </c>
      <c r="H126" s="6" t="s">
        <v>42</v>
      </c>
      <c r="I126" s="183" t="s">
        <v>146</v>
      </c>
      <c r="J126" s="184"/>
      <c r="K126" s="20">
        <f>K78</f>
        <v>315.79749609600003</v>
      </c>
    </row>
    <row r="127" spans="3:12" x14ac:dyDescent="0.25">
      <c r="C127" s="6" t="s">
        <v>44</v>
      </c>
      <c r="D127" s="183" t="s">
        <v>147</v>
      </c>
      <c r="E127" s="184"/>
      <c r="F127" s="20">
        <f>F98</f>
        <v>172.02671959665099</v>
      </c>
      <c r="H127" s="6" t="s">
        <v>44</v>
      </c>
      <c r="I127" s="183" t="s">
        <v>147</v>
      </c>
      <c r="J127" s="184"/>
      <c r="K127" s="20">
        <f>K98</f>
        <v>172.02671959665099</v>
      </c>
    </row>
    <row r="128" spans="3:12" x14ac:dyDescent="0.25">
      <c r="C128" s="6" t="s">
        <v>47</v>
      </c>
      <c r="D128" s="183" t="s">
        <v>148</v>
      </c>
      <c r="E128" s="184"/>
      <c r="F128" s="20">
        <f>F107</f>
        <v>114.3737888888889</v>
      </c>
      <c r="H128" s="6" t="s">
        <v>47</v>
      </c>
      <c r="I128" s="183" t="s">
        <v>148</v>
      </c>
      <c r="J128" s="184"/>
      <c r="K128" s="20">
        <f>K107</f>
        <v>114.3737888888889</v>
      </c>
    </row>
    <row r="129" spans="3:11" x14ac:dyDescent="0.25">
      <c r="C129" s="235" t="s">
        <v>149</v>
      </c>
      <c r="D129" s="236"/>
      <c r="E129" s="237"/>
      <c r="F129" s="20">
        <f>SUM(F124:F128)</f>
        <v>9494.9828785815389</v>
      </c>
      <c r="H129" s="235" t="s">
        <v>149</v>
      </c>
      <c r="I129" s="236"/>
      <c r="J129" s="237"/>
      <c r="K129" s="20">
        <f>SUM(K124:K128)</f>
        <v>8300.0938619148728</v>
      </c>
    </row>
    <row r="130" spans="3:11" x14ac:dyDescent="0.25">
      <c r="C130" s="6" t="s">
        <v>150</v>
      </c>
      <c r="D130" s="183" t="s">
        <v>151</v>
      </c>
      <c r="E130" s="184"/>
      <c r="F130" s="20">
        <f>F120</f>
        <v>2216.5351238649419</v>
      </c>
      <c r="H130" s="6" t="s">
        <v>150</v>
      </c>
      <c r="I130" s="183" t="s">
        <v>151</v>
      </c>
      <c r="J130" s="184"/>
      <c r="K130" s="20">
        <f>K120</f>
        <v>2049.6679734906925</v>
      </c>
    </row>
    <row r="131" spans="3:11" x14ac:dyDescent="0.25">
      <c r="C131" s="199" t="s">
        <v>152</v>
      </c>
      <c r="D131" s="201"/>
      <c r="E131" s="200"/>
      <c r="F131" s="42">
        <f>F129+F130</f>
        <v>11711.518002446481</v>
      </c>
      <c r="H131" s="199" t="s">
        <v>152</v>
      </c>
      <c r="I131" s="201"/>
      <c r="J131" s="200"/>
      <c r="K131" s="42">
        <f>K129+K130</f>
        <v>10349.761835405565</v>
      </c>
    </row>
    <row r="132" spans="3:11" x14ac:dyDescent="0.25">
      <c r="C132" s="199" t="s">
        <v>1084</v>
      </c>
      <c r="D132" s="201"/>
      <c r="E132" s="200"/>
      <c r="F132" s="42">
        <f>F131/220</f>
        <v>53.234172738393092</v>
      </c>
      <c r="H132" s="199" t="s">
        <v>1084</v>
      </c>
      <c r="I132" s="201"/>
      <c r="J132" s="200"/>
      <c r="K132" s="42">
        <f>K131/220</f>
        <v>47.044371979116207</v>
      </c>
    </row>
  </sheetData>
  <mergeCells count="164">
    <mergeCell ref="C132:E132"/>
    <mergeCell ref="H132:J132"/>
    <mergeCell ref="C129:E129"/>
    <mergeCell ref="H129:J129"/>
    <mergeCell ref="D130:E130"/>
    <mergeCell ref="I130:J130"/>
    <mergeCell ref="C131:E131"/>
    <mergeCell ref="H131:J131"/>
    <mergeCell ref="D126:E126"/>
    <mergeCell ref="I126:J126"/>
    <mergeCell ref="D127:E127"/>
    <mergeCell ref="I127:J127"/>
    <mergeCell ref="D128:E128"/>
    <mergeCell ref="I128:J128"/>
    <mergeCell ref="C123:F123"/>
    <mergeCell ref="H123:K123"/>
    <mergeCell ref="D124:E124"/>
    <mergeCell ref="I124:J124"/>
    <mergeCell ref="D125:E125"/>
    <mergeCell ref="I125:J125"/>
    <mergeCell ref="C120:E120"/>
    <mergeCell ref="H120:J120"/>
    <mergeCell ref="C121:F121"/>
    <mergeCell ref="H121:K121"/>
    <mergeCell ref="C122:E122"/>
    <mergeCell ref="H122:J122"/>
    <mergeCell ref="D116:F116"/>
    <mergeCell ref="I116:K116"/>
    <mergeCell ref="E117:E119"/>
    <mergeCell ref="F117:F119"/>
    <mergeCell ref="J117:J119"/>
    <mergeCell ref="K117:K119"/>
    <mergeCell ref="C110:F110"/>
    <mergeCell ref="H110:K110"/>
    <mergeCell ref="C111:F111"/>
    <mergeCell ref="H111:K111"/>
    <mergeCell ref="C112:F112"/>
    <mergeCell ref="H112:K112"/>
    <mergeCell ref="C107:E107"/>
    <mergeCell ref="H107:J107"/>
    <mergeCell ref="C108:F108"/>
    <mergeCell ref="H108:K108"/>
    <mergeCell ref="C109:E109"/>
    <mergeCell ref="H109:J109"/>
    <mergeCell ref="D103:E103"/>
    <mergeCell ref="I103:J103"/>
    <mergeCell ref="D105:E105"/>
    <mergeCell ref="I105:J105"/>
    <mergeCell ref="D106:E106"/>
    <mergeCell ref="I106:J106"/>
    <mergeCell ref="C100:F100"/>
    <mergeCell ref="H100:K100"/>
    <mergeCell ref="C101:F101"/>
    <mergeCell ref="H101:K101"/>
    <mergeCell ref="D102:E102"/>
    <mergeCell ref="I102:J102"/>
    <mergeCell ref="D97:E97"/>
    <mergeCell ref="I97:J97"/>
    <mergeCell ref="C98:E98"/>
    <mergeCell ref="H98:J98"/>
    <mergeCell ref="C99:F99"/>
    <mergeCell ref="H99:K99"/>
    <mergeCell ref="C94:F94"/>
    <mergeCell ref="H94:K94"/>
    <mergeCell ref="C95:E95"/>
    <mergeCell ref="H95:J95"/>
    <mergeCell ref="D96:E96"/>
    <mergeCell ref="I96:J96"/>
    <mergeCell ref="C89:E89"/>
    <mergeCell ref="H89:J89"/>
    <mergeCell ref="C90:F90"/>
    <mergeCell ref="H90:K90"/>
    <mergeCell ref="C93:D93"/>
    <mergeCell ref="H93:I93"/>
    <mergeCell ref="C79:F79"/>
    <mergeCell ref="H79:K79"/>
    <mergeCell ref="C80:F80"/>
    <mergeCell ref="H80:K80"/>
    <mergeCell ref="C81:F81"/>
    <mergeCell ref="H81:K81"/>
    <mergeCell ref="C69:F69"/>
    <mergeCell ref="H69:K69"/>
    <mergeCell ref="C70:F70"/>
    <mergeCell ref="H70:K70"/>
    <mergeCell ref="C78:E78"/>
    <mergeCell ref="H78:J78"/>
    <mergeCell ref="D66:E66"/>
    <mergeCell ref="I66:J66"/>
    <mergeCell ref="C67:E67"/>
    <mergeCell ref="H67:J67"/>
    <mergeCell ref="C68:F68"/>
    <mergeCell ref="H68:K68"/>
    <mergeCell ref="C63:E63"/>
    <mergeCell ref="H63:J63"/>
    <mergeCell ref="D64:E64"/>
    <mergeCell ref="I64:J64"/>
    <mergeCell ref="D65:E65"/>
    <mergeCell ref="I65:J65"/>
    <mergeCell ref="C54:F54"/>
    <mergeCell ref="H54:K54"/>
    <mergeCell ref="C61:E61"/>
    <mergeCell ref="H61:J61"/>
    <mergeCell ref="C62:F62"/>
    <mergeCell ref="H62:K62"/>
    <mergeCell ref="C42:E42"/>
    <mergeCell ref="H42:J42"/>
    <mergeCell ref="C43:F43"/>
    <mergeCell ref="H43:K43"/>
    <mergeCell ref="C53:D53"/>
    <mergeCell ref="H53:I53"/>
    <mergeCell ref="C36:F36"/>
    <mergeCell ref="H36:K36"/>
    <mergeCell ref="C37:F37"/>
    <mergeCell ref="H37:K37"/>
    <mergeCell ref="C38:F38"/>
    <mergeCell ref="H38:K38"/>
    <mergeCell ref="C26:F26"/>
    <mergeCell ref="H26:K26"/>
    <mergeCell ref="D27:E27"/>
    <mergeCell ref="I27:J27"/>
    <mergeCell ref="C35:E35"/>
    <mergeCell ref="H35:J35"/>
    <mergeCell ref="D23:E23"/>
    <mergeCell ref="I23:J23"/>
    <mergeCell ref="C24:F24"/>
    <mergeCell ref="H24:K24"/>
    <mergeCell ref="C25:F25"/>
    <mergeCell ref="H25:K25"/>
    <mergeCell ref="C20:F20"/>
    <mergeCell ref="H20:K20"/>
    <mergeCell ref="D21:E21"/>
    <mergeCell ref="I21:J21"/>
    <mergeCell ref="D22:E22"/>
    <mergeCell ref="I22:J22"/>
    <mergeCell ref="E18:F18"/>
    <mergeCell ref="J18:K18"/>
    <mergeCell ref="E19:F19"/>
    <mergeCell ref="J19:K19"/>
    <mergeCell ref="C14:F14"/>
    <mergeCell ref="H14:K14"/>
    <mergeCell ref="C15:F15"/>
    <mergeCell ref="H15:K15"/>
    <mergeCell ref="C16:F16"/>
    <mergeCell ref="H16:K16"/>
    <mergeCell ref="E13:F13"/>
    <mergeCell ref="J13:K13"/>
    <mergeCell ref="E7:F7"/>
    <mergeCell ref="J7:K7"/>
    <mergeCell ref="E8:F8"/>
    <mergeCell ref="J8:K8"/>
    <mergeCell ref="E10:F10"/>
    <mergeCell ref="J10:K10"/>
    <mergeCell ref="E17:F17"/>
    <mergeCell ref="J17:K17"/>
    <mergeCell ref="C4:F4"/>
    <mergeCell ref="H4:K4"/>
    <mergeCell ref="C5:F5"/>
    <mergeCell ref="H5:K5"/>
    <mergeCell ref="C6:F6"/>
    <mergeCell ref="H6:K6"/>
    <mergeCell ref="E11:F11"/>
    <mergeCell ref="J11:K11"/>
    <mergeCell ref="E12:F12"/>
    <mergeCell ref="J12:K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45389-7E2A-4B7E-B916-6C26DA84CDCB}">
  <dimension ref="B4:L136"/>
  <sheetViews>
    <sheetView topLeftCell="B103" workbookViewId="0">
      <selection activeCell="J117" sqref="J117:J119"/>
    </sheetView>
  </sheetViews>
  <sheetFormatPr defaultColWidth="9.140625" defaultRowHeight="15" x14ac:dyDescent="0.25"/>
  <cols>
    <col min="1" max="1" width="4.85546875" customWidth="1"/>
    <col min="2" max="2" width="37.5703125" customWidth="1"/>
    <col min="4" max="4" width="55.85546875" customWidth="1"/>
    <col min="5" max="5" width="12.140625" bestFit="1" customWidth="1"/>
    <col min="6" max="6" width="11.42578125" bestFit="1" customWidth="1"/>
    <col min="9" max="9" width="55.85546875" customWidth="1"/>
    <col min="10" max="10" width="12.140625" bestFit="1" customWidth="1"/>
    <col min="11" max="11" width="11.42578125" bestFit="1" customWidth="1"/>
  </cols>
  <sheetData>
    <row r="4" spans="3:11" x14ac:dyDescent="0.25">
      <c r="C4" s="169" t="s">
        <v>208</v>
      </c>
      <c r="D4" s="169"/>
      <c r="E4" s="169"/>
      <c r="F4" s="169"/>
      <c r="H4" s="169" t="s">
        <v>208</v>
      </c>
      <c r="I4" s="169"/>
      <c r="J4" s="169"/>
      <c r="K4" s="169"/>
    </row>
    <row r="5" spans="3:11" x14ac:dyDescent="0.25">
      <c r="C5" s="170" t="s">
        <v>35</v>
      </c>
      <c r="D5" s="170"/>
      <c r="E5" s="170"/>
      <c r="F5" s="170"/>
      <c r="H5" s="170" t="s">
        <v>35</v>
      </c>
      <c r="I5" s="170"/>
      <c r="J5" s="170"/>
      <c r="K5" s="170"/>
    </row>
    <row r="6" spans="3:11" x14ac:dyDescent="0.25">
      <c r="C6" s="171" t="s">
        <v>36</v>
      </c>
      <c r="D6" s="171"/>
      <c r="E6" s="171"/>
      <c r="F6" s="171"/>
      <c r="H6" s="171" t="s">
        <v>36</v>
      </c>
      <c r="I6" s="171"/>
      <c r="J6" s="171"/>
      <c r="K6" s="171"/>
    </row>
    <row r="7" spans="3:11" x14ac:dyDescent="0.25">
      <c r="C7" s="6" t="s">
        <v>37</v>
      </c>
      <c r="D7" s="7" t="s">
        <v>38</v>
      </c>
      <c r="E7" s="172"/>
      <c r="F7" s="173"/>
      <c r="H7" s="6" t="s">
        <v>37</v>
      </c>
      <c r="I7" s="7" t="s">
        <v>38</v>
      </c>
      <c r="J7" s="172"/>
      <c r="K7" s="173"/>
    </row>
    <row r="8" spans="3:11" x14ac:dyDescent="0.25">
      <c r="C8" s="6" t="s">
        <v>39</v>
      </c>
      <c r="D8" s="7" t="s">
        <v>40</v>
      </c>
      <c r="E8" s="176" t="s">
        <v>213</v>
      </c>
      <c r="F8" s="176"/>
      <c r="H8" s="6" t="s">
        <v>39</v>
      </c>
      <c r="I8" s="7" t="s">
        <v>40</v>
      </c>
      <c r="J8" s="176" t="s">
        <v>213</v>
      </c>
      <c r="K8" s="176"/>
    </row>
    <row r="9" spans="3:11" ht="25.5" x14ac:dyDescent="0.25">
      <c r="C9" s="8" t="s">
        <v>42</v>
      </c>
      <c r="D9" s="9" t="s">
        <v>43</v>
      </c>
      <c r="E9" s="45" t="s">
        <v>154</v>
      </c>
      <c r="F9" s="156">
        <v>2025</v>
      </c>
      <c r="H9" s="8" t="s">
        <v>42</v>
      </c>
      <c r="I9" s="9" t="s">
        <v>43</v>
      </c>
      <c r="J9" s="45" t="s">
        <v>154</v>
      </c>
      <c r="K9" s="46">
        <v>2025</v>
      </c>
    </row>
    <row r="10" spans="3:11" x14ac:dyDescent="0.25">
      <c r="C10" s="6" t="s">
        <v>44</v>
      </c>
      <c r="D10" s="7" t="s">
        <v>45</v>
      </c>
      <c r="E10" s="172" t="s">
        <v>46</v>
      </c>
      <c r="F10" s="173"/>
      <c r="H10" s="6" t="s">
        <v>44</v>
      </c>
      <c r="I10" s="7" t="s">
        <v>45</v>
      </c>
      <c r="J10" s="172" t="s">
        <v>46</v>
      </c>
      <c r="K10" s="173"/>
    </row>
    <row r="11" spans="3:11" x14ac:dyDescent="0.25">
      <c r="C11" s="6" t="s">
        <v>47</v>
      </c>
      <c r="D11" s="7" t="s">
        <v>48</v>
      </c>
      <c r="E11" s="172" t="s">
        <v>49</v>
      </c>
      <c r="F11" s="173"/>
      <c r="H11" s="6" t="s">
        <v>47</v>
      </c>
      <c r="I11" s="7" t="s">
        <v>48</v>
      </c>
      <c r="J11" s="172" t="s">
        <v>49</v>
      </c>
      <c r="K11" s="173"/>
    </row>
    <row r="12" spans="3:11" x14ac:dyDescent="0.25">
      <c r="C12" s="6" t="s">
        <v>50</v>
      </c>
      <c r="D12" s="7" t="s">
        <v>51</v>
      </c>
      <c r="E12" s="174">
        <v>220</v>
      </c>
      <c r="F12" s="175"/>
      <c r="H12" s="6" t="s">
        <v>50</v>
      </c>
      <c r="I12" s="7" t="s">
        <v>51</v>
      </c>
      <c r="J12" s="174">
        <v>220</v>
      </c>
      <c r="K12" s="175"/>
    </row>
    <row r="13" spans="3:11" x14ac:dyDescent="0.25">
      <c r="C13" s="6" t="s">
        <v>52</v>
      </c>
      <c r="D13" s="7" t="s">
        <v>53</v>
      </c>
      <c r="E13" s="172">
        <v>12</v>
      </c>
      <c r="F13" s="173"/>
      <c r="H13" s="6" t="s">
        <v>52</v>
      </c>
      <c r="I13" s="7" t="s">
        <v>53</v>
      </c>
      <c r="J13" s="172">
        <v>12</v>
      </c>
      <c r="K13" s="173"/>
    </row>
    <row r="14" spans="3:11" x14ac:dyDescent="0.25">
      <c r="C14" s="179" t="s">
        <v>195</v>
      </c>
      <c r="D14" s="179"/>
      <c r="E14" s="179"/>
      <c r="F14" s="179"/>
      <c r="H14" s="179" t="s">
        <v>195</v>
      </c>
      <c r="I14" s="179"/>
      <c r="J14" s="179"/>
      <c r="K14" s="179"/>
    </row>
    <row r="15" spans="3:11" x14ac:dyDescent="0.25">
      <c r="C15" s="180" t="s">
        <v>54</v>
      </c>
      <c r="D15" s="181"/>
      <c r="E15" s="181"/>
      <c r="F15" s="182"/>
      <c r="H15" s="180" t="s">
        <v>54</v>
      </c>
      <c r="I15" s="181"/>
      <c r="J15" s="181"/>
      <c r="K15" s="182"/>
    </row>
    <row r="16" spans="3:11" x14ac:dyDescent="0.25">
      <c r="C16" s="176" t="s">
        <v>55</v>
      </c>
      <c r="D16" s="176"/>
      <c r="E16" s="176"/>
      <c r="F16" s="176"/>
      <c r="H16" s="176" t="s">
        <v>55</v>
      </c>
      <c r="I16" s="176"/>
      <c r="J16" s="176"/>
      <c r="K16" s="176"/>
    </row>
    <row r="17" spans="3:11" x14ac:dyDescent="0.25">
      <c r="C17" s="6">
        <v>1</v>
      </c>
      <c r="D17" s="7" t="s">
        <v>56</v>
      </c>
      <c r="E17" s="172" t="s">
        <v>157</v>
      </c>
      <c r="F17" s="173" t="s">
        <v>57</v>
      </c>
      <c r="H17" s="6">
        <v>1</v>
      </c>
      <c r="I17" s="7" t="s">
        <v>56</v>
      </c>
      <c r="J17" s="172" t="s">
        <v>157</v>
      </c>
      <c r="K17" s="173" t="s">
        <v>57</v>
      </c>
    </row>
    <row r="18" spans="3:11" x14ac:dyDescent="0.25">
      <c r="C18" s="6"/>
      <c r="D18" s="10" t="s">
        <v>194</v>
      </c>
      <c r="E18" s="172">
        <v>220</v>
      </c>
      <c r="F18" s="173">
        <v>1</v>
      </c>
      <c r="H18" s="6"/>
      <c r="I18" s="10" t="s">
        <v>194</v>
      </c>
      <c r="J18" s="172">
        <v>220</v>
      </c>
      <c r="K18" s="173">
        <v>1</v>
      </c>
    </row>
    <row r="19" spans="3:11" ht="39" customHeight="1" x14ac:dyDescent="0.25">
      <c r="C19" s="6">
        <v>2</v>
      </c>
      <c r="D19" s="11" t="s">
        <v>58</v>
      </c>
      <c r="E19" s="177" t="s">
        <v>196</v>
      </c>
      <c r="F19" s="178"/>
      <c r="H19" s="6">
        <v>2</v>
      </c>
      <c r="I19" s="11" t="s">
        <v>58</v>
      </c>
      <c r="J19" s="177" t="s">
        <v>196</v>
      </c>
      <c r="K19" s="178"/>
    </row>
    <row r="20" spans="3:11" x14ac:dyDescent="0.25">
      <c r="C20" s="176" t="s">
        <v>59</v>
      </c>
      <c r="D20" s="176"/>
      <c r="E20" s="176"/>
      <c r="F20" s="176"/>
      <c r="H20" s="176" t="s">
        <v>59</v>
      </c>
      <c r="I20" s="176"/>
      <c r="J20" s="176"/>
      <c r="K20" s="176"/>
    </row>
    <row r="21" spans="3:11" x14ac:dyDescent="0.25">
      <c r="C21" s="6">
        <v>3</v>
      </c>
      <c r="D21" s="187" t="s">
        <v>1143</v>
      </c>
      <c r="E21" s="188"/>
      <c r="F21" s="31">
        <v>3790.67</v>
      </c>
      <c r="H21" s="6">
        <v>3</v>
      </c>
      <c r="I21" s="183" t="s">
        <v>1143</v>
      </c>
      <c r="J21" s="184"/>
      <c r="K21" s="31">
        <v>3790.67</v>
      </c>
    </row>
    <row r="22" spans="3:11" x14ac:dyDescent="0.25">
      <c r="C22" s="6">
        <v>4</v>
      </c>
      <c r="D22" s="183" t="s">
        <v>61</v>
      </c>
      <c r="E22" s="184"/>
      <c r="F22" s="32" t="s">
        <v>154</v>
      </c>
      <c r="H22" s="6">
        <v>4</v>
      </c>
      <c r="I22" s="183" t="s">
        <v>61</v>
      </c>
      <c r="J22" s="184"/>
      <c r="K22" s="32" t="s">
        <v>154</v>
      </c>
    </row>
    <row r="23" spans="3:11" x14ac:dyDescent="0.25">
      <c r="C23" s="6">
        <v>5</v>
      </c>
      <c r="D23" s="183" t="s">
        <v>62</v>
      </c>
      <c r="E23" s="184"/>
      <c r="F23" s="33">
        <v>45658</v>
      </c>
      <c r="H23" s="6">
        <v>5</v>
      </c>
      <c r="I23" s="183" t="s">
        <v>62</v>
      </c>
      <c r="J23" s="184"/>
      <c r="K23" s="33">
        <v>45658</v>
      </c>
    </row>
    <row r="24" spans="3:11" x14ac:dyDescent="0.25">
      <c r="C24" s="172"/>
      <c r="D24" s="185"/>
      <c r="E24" s="185"/>
      <c r="F24" s="173"/>
      <c r="H24" s="172"/>
      <c r="I24" s="185"/>
      <c r="J24" s="185"/>
      <c r="K24" s="173"/>
    </row>
    <row r="25" spans="3:11" x14ac:dyDescent="0.25">
      <c r="C25" s="186" t="s">
        <v>63</v>
      </c>
      <c r="D25" s="186"/>
      <c r="E25" s="186"/>
      <c r="F25" s="186"/>
      <c r="H25" s="186" t="s">
        <v>63</v>
      </c>
      <c r="I25" s="186"/>
      <c r="J25" s="186"/>
      <c r="K25" s="186"/>
    </row>
    <row r="26" spans="3:11" x14ac:dyDescent="0.25">
      <c r="C26" s="196"/>
      <c r="D26" s="197"/>
      <c r="E26" s="197"/>
      <c r="F26" s="198"/>
      <c r="H26" s="196"/>
      <c r="I26" s="197"/>
      <c r="J26" s="197"/>
      <c r="K26" s="198"/>
    </row>
    <row r="27" spans="3:11" x14ac:dyDescent="0.25">
      <c r="C27" s="12">
        <v>1</v>
      </c>
      <c r="D27" s="199" t="s">
        <v>64</v>
      </c>
      <c r="E27" s="200"/>
      <c r="F27" s="12" t="s">
        <v>65</v>
      </c>
      <c r="H27" s="12">
        <v>1</v>
      </c>
      <c r="I27" s="199" t="s">
        <v>64</v>
      </c>
      <c r="J27" s="200"/>
      <c r="K27" s="12" t="s">
        <v>65</v>
      </c>
    </row>
    <row r="28" spans="3:11" x14ac:dyDescent="0.25">
      <c r="C28" s="6" t="s">
        <v>66</v>
      </c>
      <c r="D28" s="7" t="s">
        <v>67</v>
      </c>
      <c r="E28" s="34">
        <v>1</v>
      </c>
      <c r="F28" s="47">
        <f>F21</f>
        <v>3790.67</v>
      </c>
      <c r="H28" s="6" t="s">
        <v>66</v>
      </c>
      <c r="I28" s="7" t="s">
        <v>67</v>
      </c>
      <c r="J28" s="34">
        <v>1</v>
      </c>
      <c r="K28" s="47">
        <f>K21</f>
        <v>3790.67</v>
      </c>
    </row>
    <row r="29" spans="3:11" x14ac:dyDescent="0.25">
      <c r="C29" s="6" t="s">
        <v>39</v>
      </c>
      <c r="D29" s="7" t="s">
        <v>68</v>
      </c>
      <c r="E29" s="14">
        <v>0.3</v>
      </c>
      <c r="F29" s="15">
        <f>F28*E29</f>
        <v>1137.201</v>
      </c>
      <c r="H29" s="6" t="s">
        <v>39</v>
      </c>
      <c r="I29" s="7" t="s">
        <v>68</v>
      </c>
      <c r="J29" s="14">
        <v>0.3</v>
      </c>
      <c r="K29" s="15">
        <f>K28*J29</f>
        <v>1137.201</v>
      </c>
    </row>
    <row r="30" spans="3:11" x14ac:dyDescent="0.25">
      <c r="C30" s="6" t="s">
        <v>42</v>
      </c>
      <c r="D30" s="7" t="s">
        <v>69</v>
      </c>
      <c r="E30" s="14">
        <v>0</v>
      </c>
      <c r="F30" s="16">
        <v>0</v>
      </c>
      <c r="H30" s="6" t="s">
        <v>42</v>
      </c>
      <c r="I30" s="7" t="s">
        <v>69</v>
      </c>
      <c r="J30" s="14">
        <v>0</v>
      </c>
      <c r="K30" s="16">
        <v>0</v>
      </c>
    </row>
    <row r="31" spans="3:11" x14ac:dyDescent="0.25">
      <c r="C31" s="6" t="s">
        <v>44</v>
      </c>
      <c r="D31" s="7" t="s">
        <v>70</v>
      </c>
      <c r="E31" s="14">
        <v>0</v>
      </c>
      <c r="F31" s="16">
        <v>0</v>
      </c>
      <c r="H31" s="6" t="s">
        <v>44</v>
      </c>
      <c r="I31" s="7" t="s">
        <v>70</v>
      </c>
      <c r="J31" s="14">
        <v>0</v>
      </c>
      <c r="K31" s="16">
        <v>0</v>
      </c>
    </row>
    <row r="32" spans="3:11" x14ac:dyDescent="0.25">
      <c r="C32" s="6" t="s">
        <v>47</v>
      </c>
      <c r="D32" s="7" t="s">
        <v>71</v>
      </c>
      <c r="E32" s="14">
        <v>0</v>
      </c>
      <c r="F32" s="16">
        <v>0</v>
      </c>
      <c r="H32" s="6" t="s">
        <v>47</v>
      </c>
      <c r="I32" s="7" t="s">
        <v>71</v>
      </c>
      <c r="J32" s="14">
        <v>0</v>
      </c>
      <c r="K32" s="16">
        <v>0</v>
      </c>
    </row>
    <row r="33" spans="3:11" x14ac:dyDescent="0.25">
      <c r="C33" s="6" t="s">
        <v>50</v>
      </c>
      <c r="D33" s="155" t="s">
        <v>1144</v>
      </c>
      <c r="E33" s="34">
        <v>1</v>
      </c>
      <c r="F33" s="53">
        <v>73.989999999999995</v>
      </c>
      <c r="H33" s="6" t="s">
        <v>50</v>
      </c>
      <c r="I33" s="7" t="s">
        <v>1144</v>
      </c>
      <c r="J33" s="34">
        <v>1</v>
      </c>
      <c r="K33" s="53">
        <v>73.989999999999995</v>
      </c>
    </row>
    <row r="34" spans="3:11" x14ac:dyDescent="0.25">
      <c r="C34" s="6" t="s">
        <v>52</v>
      </c>
      <c r="D34" s="7" t="s">
        <v>72</v>
      </c>
      <c r="E34" s="14">
        <v>0</v>
      </c>
      <c r="F34" s="16">
        <v>0</v>
      </c>
      <c r="H34" s="6" t="s">
        <v>52</v>
      </c>
      <c r="I34" s="7" t="s">
        <v>72</v>
      </c>
      <c r="J34" s="14">
        <v>0</v>
      </c>
      <c r="K34" s="16">
        <v>0</v>
      </c>
    </row>
    <row r="35" spans="3:11" x14ac:dyDescent="0.25">
      <c r="C35" s="199" t="s">
        <v>73</v>
      </c>
      <c r="D35" s="201"/>
      <c r="E35" s="200"/>
      <c r="F35" s="17">
        <f>SUM(F28:F34)</f>
        <v>5001.8609999999999</v>
      </c>
      <c r="H35" s="199" t="s">
        <v>73</v>
      </c>
      <c r="I35" s="201"/>
      <c r="J35" s="200"/>
      <c r="K35" s="17">
        <f>SUM(K28:K34)</f>
        <v>5001.8609999999999</v>
      </c>
    </row>
    <row r="36" spans="3:11" x14ac:dyDescent="0.25">
      <c r="C36" s="189"/>
      <c r="D36" s="189"/>
      <c r="E36" s="189"/>
      <c r="F36" s="189"/>
      <c r="H36" s="189"/>
      <c r="I36" s="189"/>
      <c r="J36" s="189"/>
      <c r="K36" s="189"/>
    </row>
    <row r="37" spans="3:11" x14ac:dyDescent="0.25">
      <c r="C37" s="190" t="s">
        <v>74</v>
      </c>
      <c r="D37" s="191"/>
      <c r="E37" s="191"/>
      <c r="F37" s="192"/>
      <c r="H37" s="190" t="s">
        <v>74</v>
      </c>
      <c r="I37" s="191"/>
      <c r="J37" s="191"/>
      <c r="K37" s="192"/>
    </row>
    <row r="38" spans="3:11" x14ac:dyDescent="0.25">
      <c r="C38" s="193"/>
      <c r="D38" s="194"/>
      <c r="E38" s="194"/>
      <c r="F38" s="195"/>
      <c r="H38" s="193"/>
      <c r="I38" s="194"/>
      <c r="J38" s="194"/>
      <c r="K38" s="195"/>
    </row>
    <row r="39" spans="3:11" x14ac:dyDescent="0.25">
      <c r="C39" s="18" t="s">
        <v>75</v>
      </c>
      <c r="D39" s="19" t="s">
        <v>76</v>
      </c>
      <c r="E39" s="18" t="s">
        <v>77</v>
      </c>
      <c r="F39" s="18" t="s">
        <v>65</v>
      </c>
      <c r="H39" s="18" t="s">
        <v>75</v>
      </c>
      <c r="I39" s="19" t="s">
        <v>76</v>
      </c>
      <c r="J39" s="18" t="s">
        <v>77</v>
      </c>
      <c r="K39" s="18" t="s">
        <v>65</v>
      </c>
    </row>
    <row r="40" spans="3:11" x14ac:dyDescent="0.25">
      <c r="C40" s="20" t="s">
        <v>66</v>
      </c>
      <c r="D40" s="21" t="s">
        <v>78</v>
      </c>
      <c r="E40" s="44">
        <f>1/12</f>
        <v>8.3333333333333329E-2</v>
      </c>
      <c r="F40" s="20">
        <f>F35*E40</f>
        <v>416.82174999999995</v>
      </c>
      <c r="H40" s="20" t="s">
        <v>66</v>
      </c>
      <c r="I40" s="21" t="s">
        <v>78</v>
      </c>
      <c r="J40" s="44">
        <f>1/12</f>
        <v>8.3333333333333329E-2</v>
      </c>
      <c r="K40" s="20">
        <f>K35*J40</f>
        <v>416.82174999999995</v>
      </c>
    </row>
    <row r="41" spans="3:11" x14ac:dyDescent="0.25">
      <c r="C41" s="20" t="s">
        <v>39</v>
      </c>
      <c r="D41" s="21" t="s">
        <v>79</v>
      </c>
      <c r="E41" s="28">
        <f>(1/12)+(1/(12*3))</f>
        <v>0.1111111111111111</v>
      </c>
      <c r="F41" s="20">
        <f>E41*F35</f>
        <v>555.76233333333334</v>
      </c>
      <c r="H41" s="20" t="s">
        <v>39</v>
      </c>
      <c r="I41" s="21" t="s">
        <v>79</v>
      </c>
      <c r="J41" s="28">
        <f>(1/12)+(1/(12*3))</f>
        <v>0.1111111111111111</v>
      </c>
      <c r="K41" s="20">
        <f>J41*K35</f>
        <v>555.76233333333334</v>
      </c>
    </row>
    <row r="42" spans="3:11" x14ac:dyDescent="0.25">
      <c r="C42" s="205" t="s">
        <v>80</v>
      </c>
      <c r="D42" s="206"/>
      <c r="E42" s="207"/>
      <c r="F42" s="22">
        <f>SUM(F40:F41)</f>
        <v>972.5840833333333</v>
      </c>
      <c r="H42" s="205" t="s">
        <v>80</v>
      </c>
      <c r="I42" s="206"/>
      <c r="J42" s="207"/>
      <c r="K42" s="22">
        <f>SUM(K40:K41)</f>
        <v>972.5840833333333</v>
      </c>
    </row>
    <row r="43" spans="3:11" x14ac:dyDescent="0.25">
      <c r="C43" s="193"/>
      <c r="D43" s="194"/>
      <c r="E43" s="194"/>
      <c r="F43" s="195"/>
      <c r="H43" s="193"/>
      <c r="I43" s="194"/>
      <c r="J43" s="194"/>
      <c r="K43" s="195"/>
    </row>
    <row r="44" spans="3:11" x14ac:dyDescent="0.25">
      <c r="C44" s="22" t="s">
        <v>81</v>
      </c>
      <c r="D44" s="23" t="s">
        <v>82</v>
      </c>
      <c r="E44" s="22" t="s">
        <v>77</v>
      </c>
      <c r="F44" s="22" t="s">
        <v>65</v>
      </c>
      <c r="H44" s="22" t="s">
        <v>81</v>
      </c>
      <c r="I44" s="23" t="s">
        <v>82</v>
      </c>
      <c r="J44" s="22" t="s">
        <v>77</v>
      </c>
      <c r="K44" s="22" t="s">
        <v>65</v>
      </c>
    </row>
    <row r="45" spans="3:11" x14ac:dyDescent="0.25">
      <c r="C45" s="24" t="s">
        <v>66</v>
      </c>
      <c r="D45" s="25" t="s">
        <v>83</v>
      </c>
      <c r="E45" s="35">
        <f>2/10</f>
        <v>0.2</v>
      </c>
      <c r="F45" s="20">
        <f>E45*($F$35+$F$42)</f>
        <v>1194.8890166666667</v>
      </c>
      <c r="H45" s="24" t="s">
        <v>66</v>
      </c>
      <c r="I45" s="25" t="s">
        <v>83</v>
      </c>
      <c r="J45" s="159">
        <v>0</v>
      </c>
      <c r="K45" s="158">
        <f>J45*($F$35+$F$42)</f>
        <v>0</v>
      </c>
    </row>
    <row r="46" spans="3:11" x14ac:dyDescent="0.25">
      <c r="C46" s="24" t="s">
        <v>39</v>
      </c>
      <c r="D46" s="25" t="s">
        <v>84</v>
      </c>
      <c r="E46" s="35">
        <f>2.5/100</f>
        <v>2.5000000000000001E-2</v>
      </c>
      <c r="F46" s="20">
        <f t="shared" ref="F46:F52" si="0">E46*($F$35+$F$42)</f>
        <v>149.36112708333334</v>
      </c>
      <c r="H46" s="24" t="s">
        <v>39</v>
      </c>
      <c r="I46" s="25" t="s">
        <v>84</v>
      </c>
      <c r="J46" s="35">
        <f>2.5/100</f>
        <v>2.5000000000000001E-2</v>
      </c>
      <c r="K46" s="20">
        <f t="shared" ref="K46:K52" si="1">J46*($F$35+$F$42)</f>
        <v>149.36112708333334</v>
      </c>
    </row>
    <row r="47" spans="3:11" x14ac:dyDescent="0.25">
      <c r="C47" s="24" t="s">
        <v>42</v>
      </c>
      <c r="D47" s="25" t="s">
        <v>85</v>
      </c>
      <c r="E47" s="35">
        <f>3/100</f>
        <v>0.03</v>
      </c>
      <c r="F47" s="20">
        <f t="shared" si="0"/>
        <v>179.2333525</v>
      </c>
      <c r="H47" s="24" t="s">
        <v>42</v>
      </c>
      <c r="I47" s="25" t="s">
        <v>85</v>
      </c>
      <c r="J47" s="35">
        <f>3/100</f>
        <v>0.03</v>
      </c>
      <c r="K47" s="20">
        <f t="shared" si="1"/>
        <v>179.2333525</v>
      </c>
    </row>
    <row r="48" spans="3:11" x14ac:dyDescent="0.25">
      <c r="C48" s="24" t="s">
        <v>44</v>
      </c>
      <c r="D48" s="25" t="s">
        <v>86</v>
      </c>
      <c r="E48" s="35">
        <f>1.5/100</f>
        <v>1.4999999999999999E-2</v>
      </c>
      <c r="F48" s="20">
        <f t="shared" si="0"/>
        <v>89.616676249999998</v>
      </c>
      <c r="H48" s="24" t="s">
        <v>44</v>
      </c>
      <c r="I48" s="25" t="s">
        <v>86</v>
      </c>
      <c r="J48" s="35">
        <f>1.5/100</f>
        <v>1.4999999999999999E-2</v>
      </c>
      <c r="K48" s="20">
        <f t="shared" si="1"/>
        <v>89.616676249999998</v>
      </c>
    </row>
    <row r="49" spans="3:12" x14ac:dyDescent="0.25">
      <c r="C49" s="24" t="s">
        <v>47</v>
      </c>
      <c r="D49" s="25" t="s">
        <v>87</v>
      </c>
      <c r="E49" s="35">
        <f>1/100</f>
        <v>0.01</v>
      </c>
      <c r="F49" s="20">
        <f t="shared" si="0"/>
        <v>59.744450833333332</v>
      </c>
      <c r="H49" s="24" t="s">
        <v>47</v>
      </c>
      <c r="I49" s="25" t="s">
        <v>87</v>
      </c>
      <c r="J49" s="35">
        <f>1/100</f>
        <v>0.01</v>
      </c>
      <c r="K49" s="20">
        <f t="shared" si="1"/>
        <v>59.744450833333332</v>
      </c>
    </row>
    <row r="50" spans="3:12" x14ac:dyDescent="0.25">
      <c r="C50" s="24" t="s">
        <v>50</v>
      </c>
      <c r="D50" s="25" t="s">
        <v>88</v>
      </c>
      <c r="E50" s="35">
        <f>0.6/100</f>
        <v>6.0000000000000001E-3</v>
      </c>
      <c r="F50" s="20">
        <f t="shared" si="0"/>
        <v>35.846670500000002</v>
      </c>
      <c r="H50" s="24" t="s">
        <v>50</v>
      </c>
      <c r="I50" s="25" t="s">
        <v>88</v>
      </c>
      <c r="J50" s="35">
        <f>0.6/100</f>
        <v>6.0000000000000001E-3</v>
      </c>
      <c r="K50" s="20">
        <f t="shared" si="1"/>
        <v>35.846670500000002</v>
      </c>
    </row>
    <row r="51" spans="3:12" x14ac:dyDescent="0.25">
      <c r="C51" s="24" t="s">
        <v>52</v>
      </c>
      <c r="D51" s="25" t="s">
        <v>89</v>
      </c>
      <c r="E51" s="35">
        <f>0.2/100</f>
        <v>2E-3</v>
      </c>
      <c r="F51" s="20">
        <f t="shared" si="0"/>
        <v>11.948890166666667</v>
      </c>
      <c r="H51" s="24" t="s">
        <v>52</v>
      </c>
      <c r="I51" s="25" t="s">
        <v>89</v>
      </c>
      <c r="J51" s="35">
        <f>0.2/100</f>
        <v>2E-3</v>
      </c>
      <c r="K51" s="20">
        <f t="shared" si="1"/>
        <v>11.948890166666667</v>
      </c>
    </row>
    <row r="52" spans="3:12" x14ac:dyDescent="0.25">
      <c r="C52" s="24" t="s">
        <v>90</v>
      </c>
      <c r="D52" s="25" t="s">
        <v>91</v>
      </c>
      <c r="E52" s="35">
        <f>8/100</f>
        <v>0.08</v>
      </c>
      <c r="F52" s="20">
        <f t="shared" si="0"/>
        <v>477.95560666666665</v>
      </c>
      <c r="H52" s="24" t="s">
        <v>90</v>
      </c>
      <c r="I52" s="25" t="s">
        <v>91</v>
      </c>
      <c r="J52" s="35">
        <f>8/100</f>
        <v>0.08</v>
      </c>
      <c r="K52" s="20">
        <f t="shared" si="1"/>
        <v>477.95560666666665</v>
      </c>
    </row>
    <row r="53" spans="3:12" x14ac:dyDescent="0.25">
      <c r="C53" s="202" t="s">
        <v>80</v>
      </c>
      <c r="D53" s="204"/>
      <c r="E53" s="36">
        <v>0.36800000000000005</v>
      </c>
      <c r="F53" s="22">
        <f>SUM(F45:F52)</f>
        <v>2198.5957906666663</v>
      </c>
      <c r="H53" s="202" t="s">
        <v>80</v>
      </c>
      <c r="I53" s="204"/>
      <c r="J53" s="36">
        <v>0.36800000000000005</v>
      </c>
      <c r="K53" s="22">
        <f>SUM(K45:K52)</f>
        <v>1003.7067739999999</v>
      </c>
    </row>
    <row r="54" spans="3:12" x14ac:dyDescent="0.25">
      <c r="C54" s="193"/>
      <c r="D54" s="194"/>
      <c r="E54" s="194"/>
      <c r="F54" s="195"/>
      <c r="H54" s="193"/>
      <c r="I54" s="194"/>
      <c r="J54" s="194"/>
      <c r="K54" s="195"/>
    </row>
    <row r="55" spans="3:12" x14ac:dyDescent="0.25">
      <c r="C55" s="22" t="s">
        <v>92</v>
      </c>
      <c r="D55" s="23" t="s">
        <v>93</v>
      </c>
      <c r="E55" s="22" t="s">
        <v>94</v>
      </c>
      <c r="F55" s="22" t="s">
        <v>65</v>
      </c>
      <c r="H55" s="22" t="s">
        <v>92</v>
      </c>
      <c r="I55" s="23" t="s">
        <v>93</v>
      </c>
      <c r="J55" s="22" t="s">
        <v>94</v>
      </c>
      <c r="K55" s="22" t="s">
        <v>65</v>
      </c>
    </row>
    <row r="56" spans="3:12" x14ac:dyDescent="0.25">
      <c r="C56" s="24" t="s">
        <v>66</v>
      </c>
      <c r="D56" s="154" t="s">
        <v>209</v>
      </c>
      <c r="E56" s="157">
        <v>6</v>
      </c>
      <c r="F56" s="158">
        <f>(E56*2*22)-(F21/100)*6</f>
        <v>36.559799999999996</v>
      </c>
      <c r="H56" s="24" t="s">
        <v>66</v>
      </c>
      <c r="I56" s="25" t="s">
        <v>209</v>
      </c>
      <c r="J56" s="37">
        <v>6</v>
      </c>
      <c r="K56" s="38">
        <f>(J56*2*22)-(F21/100)*6</f>
        <v>36.559799999999996</v>
      </c>
      <c r="L56" s="153"/>
    </row>
    <row r="57" spans="3:12" x14ac:dyDescent="0.25">
      <c r="C57" s="24" t="s">
        <v>39</v>
      </c>
      <c r="D57" s="154" t="s">
        <v>1146</v>
      </c>
      <c r="E57" s="37">
        <v>23.76</v>
      </c>
      <c r="F57" s="38">
        <f>23.76*22*0.95</f>
        <v>496.584</v>
      </c>
      <c r="H57" s="24" t="s">
        <v>39</v>
      </c>
      <c r="I57" s="25" t="s">
        <v>1146</v>
      </c>
      <c r="J57" s="37">
        <v>23.76</v>
      </c>
      <c r="K57" s="38">
        <f>23.76*22*0.95</f>
        <v>496.584</v>
      </c>
    </row>
    <row r="58" spans="3:12" x14ac:dyDescent="0.25">
      <c r="C58" s="24" t="s">
        <v>42</v>
      </c>
      <c r="D58" s="154" t="s">
        <v>1147</v>
      </c>
      <c r="E58" s="37">
        <v>164.16</v>
      </c>
      <c r="F58" s="20">
        <f>E58*1</f>
        <v>164.16</v>
      </c>
      <c r="H58" s="24" t="s">
        <v>42</v>
      </c>
      <c r="I58" s="25" t="s">
        <v>1147</v>
      </c>
      <c r="J58" s="37">
        <v>164.16</v>
      </c>
      <c r="K58" s="20">
        <f>J58*1</f>
        <v>164.16</v>
      </c>
    </row>
    <row r="59" spans="3:12" x14ac:dyDescent="0.25">
      <c r="C59" s="24" t="s">
        <v>44</v>
      </c>
      <c r="D59" s="155" t="s">
        <v>1148</v>
      </c>
      <c r="E59" s="37">
        <v>59</v>
      </c>
      <c r="F59" s="20">
        <f>E59</f>
        <v>59</v>
      </c>
      <c r="H59" s="24" t="s">
        <v>44</v>
      </c>
      <c r="I59" s="7" t="s">
        <v>160</v>
      </c>
      <c r="J59" s="157">
        <v>59</v>
      </c>
      <c r="K59" s="20">
        <f>J59</f>
        <v>59</v>
      </c>
    </row>
    <row r="60" spans="3:12" x14ac:dyDescent="0.25">
      <c r="C60" s="24" t="s">
        <v>47</v>
      </c>
      <c r="D60" s="25" t="s">
        <v>97</v>
      </c>
      <c r="E60" s="37"/>
      <c r="F60" s="20">
        <v>0</v>
      </c>
      <c r="H60" s="24" t="s">
        <v>47</v>
      </c>
      <c r="I60" s="25" t="s">
        <v>97</v>
      </c>
      <c r="J60" s="37"/>
      <c r="K60" s="20">
        <v>0</v>
      </c>
    </row>
    <row r="61" spans="3:12" x14ac:dyDescent="0.25">
      <c r="C61" s="202" t="s">
        <v>98</v>
      </c>
      <c r="D61" s="203"/>
      <c r="E61" s="204"/>
      <c r="F61" s="22">
        <f>SUM(F56:F60)</f>
        <v>756.30380000000002</v>
      </c>
      <c r="H61" s="202" t="s">
        <v>98</v>
      </c>
      <c r="I61" s="203"/>
      <c r="J61" s="204"/>
      <c r="K61" s="22">
        <f>SUM(K56:K60)</f>
        <v>756.30380000000002</v>
      </c>
    </row>
    <row r="62" spans="3:12" x14ac:dyDescent="0.25">
      <c r="C62" s="193"/>
      <c r="D62" s="194"/>
      <c r="E62" s="194"/>
      <c r="F62" s="195"/>
      <c r="H62" s="193"/>
      <c r="I62" s="194"/>
      <c r="J62" s="194"/>
      <c r="K62" s="195"/>
    </row>
    <row r="63" spans="3:12" x14ac:dyDescent="0.25">
      <c r="C63" s="202" t="s">
        <v>99</v>
      </c>
      <c r="D63" s="203"/>
      <c r="E63" s="204"/>
      <c r="F63" s="22" t="s">
        <v>65</v>
      </c>
      <c r="H63" s="202" t="s">
        <v>99</v>
      </c>
      <c r="I63" s="203"/>
      <c r="J63" s="204"/>
      <c r="K63" s="22" t="s">
        <v>65</v>
      </c>
    </row>
    <row r="64" spans="3:12" x14ac:dyDescent="0.25">
      <c r="C64" s="24" t="s">
        <v>100</v>
      </c>
      <c r="D64" s="208" t="s">
        <v>76</v>
      </c>
      <c r="E64" s="209"/>
      <c r="F64" s="20">
        <f>F42</f>
        <v>972.5840833333333</v>
      </c>
      <c r="H64" s="24" t="s">
        <v>100</v>
      </c>
      <c r="I64" s="208" t="s">
        <v>76</v>
      </c>
      <c r="J64" s="209"/>
      <c r="K64" s="20">
        <f>K42</f>
        <v>972.5840833333333</v>
      </c>
    </row>
    <row r="65" spans="2:11" x14ac:dyDescent="0.25">
      <c r="C65" s="24" t="s">
        <v>81</v>
      </c>
      <c r="D65" s="208" t="s">
        <v>82</v>
      </c>
      <c r="E65" s="209"/>
      <c r="F65" s="20">
        <f>F53</f>
        <v>2198.5957906666663</v>
      </c>
      <c r="H65" s="24" t="s">
        <v>81</v>
      </c>
      <c r="I65" s="208" t="s">
        <v>82</v>
      </c>
      <c r="J65" s="209"/>
      <c r="K65" s="20">
        <f>K53</f>
        <v>1003.7067739999999</v>
      </c>
    </row>
    <row r="66" spans="2:11" x14ac:dyDescent="0.25">
      <c r="C66" s="24" t="s">
        <v>101</v>
      </c>
      <c r="D66" s="208" t="s">
        <v>93</v>
      </c>
      <c r="E66" s="209"/>
      <c r="F66" s="20">
        <f>F61</f>
        <v>756.30380000000002</v>
      </c>
      <c r="H66" s="24" t="s">
        <v>101</v>
      </c>
      <c r="I66" s="208" t="s">
        <v>93</v>
      </c>
      <c r="J66" s="209"/>
      <c r="K66" s="20">
        <f>K61</f>
        <v>756.30380000000002</v>
      </c>
    </row>
    <row r="67" spans="2:11" x14ac:dyDescent="0.25">
      <c r="C67" s="202" t="s">
        <v>80</v>
      </c>
      <c r="D67" s="203"/>
      <c r="E67" s="204"/>
      <c r="F67" s="22">
        <f>SUM(F64:F66)</f>
        <v>3927.4836739999996</v>
      </c>
      <c r="H67" s="202" t="s">
        <v>80</v>
      </c>
      <c r="I67" s="203"/>
      <c r="J67" s="204"/>
      <c r="K67" s="22">
        <f>SUM(K64:K66)</f>
        <v>2732.5946573333331</v>
      </c>
    </row>
    <row r="68" spans="2:11" x14ac:dyDescent="0.25">
      <c r="C68" s="193"/>
      <c r="D68" s="194"/>
      <c r="E68" s="194"/>
      <c r="F68" s="195"/>
      <c r="H68" s="193"/>
      <c r="I68" s="194"/>
      <c r="J68" s="194"/>
      <c r="K68" s="195"/>
    </row>
    <row r="69" spans="2:11" x14ac:dyDescent="0.25">
      <c r="C69" s="190" t="s">
        <v>102</v>
      </c>
      <c r="D69" s="191"/>
      <c r="E69" s="191"/>
      <c r="F69" s="192"/>
      <c r="H69" s="190" t="s">
        <v>102</v>
      </c>
      <c r="I69" s="191"/>
      <c r="J69" s="191"/>
      <c r="K69" s="192"/>
    </row>
    <row r="70" spans="2:11" x14ac:dyDescent="0.25">
      <c r="C70" s="193"/>
      <c r="D70" s="194"/>
      <c r="E70" s="194"/>
      <c r="F70" s="195"/>
      <c r="H70" s="193"/>
      <c r="I70" s="194"/>
      <c r="J70" s="194"/>
      <c r="K70" s="195"/>
    </row>
    <row r="71" spans="2:11" x14ac:dyDescent="0.25">
      <c r="C71" s="12">
        <v>3</v>
      </c>
      <c r="D71" s="23" t="s">
        <v>103</v>
      </c>
      <c r="E71" s="22" t="s">
        <v>77</v>
      </c>
      <c r="F71" s="22" t="s">
        <v>65</v>
      </c>
      <c r="H71" s="12">
        <v>3</v>
      </c>
      <c r="I71" s="23" t="s">
        <v>103</v>
      </c>
      <c r="J71" s="22" t="s">
        <v>77</v>
      </c>
      <c r="K71" s="22" t="s">
        <v>65</v>
      </c>
    </row>
    <row r="72" spans="2:11" x14ac:dyDescent="0.25">
      <c r="B72" s="129" t="s">
        <v>201</v>
      </c>
      <c r="C72" s="24" t="s">
        <v>66</v>
      </c>
      <c r="D72" s="25" t="s">
        <v>104</v>
      </c>
      <c r="E72" s="35">
        <f>0.42/100</f>
        <v>4.1999999999999997E-3</v>
      </c>
      <c r="F72" s="20">
        <f>E72*F35</f>
        <v>21.007816199999997</v>
      </c>
      <c r="H72" s="24" t="s">
        <v>66</v>
      </c>
      <c r="I72" s="25" t="s">
        <v>104</v>
      </c>
      <c r="J72" s="35">
        <f>0.42/100</f>
        <v>4.1999999999999997E-3</v>
      </c>
      <c r="K72" s="20">
        <f>J72*K35</f>
        <v>21.007816199999997</v>
      </c>
    </row>
    <row r="73" spans="2:11" x14ac:dyDescent="0.25">
      <c r="B73" s="129" t="s">
        <v>1085</v>
      </c>
      <c r="C73" s="24" t="s">
        <v>39</v>
      </c>
      <c r="D73" s="25" t="s">
        <v>105</v>
      </c>
      <c r="E73" s="35">
        <f>0.08*E72</f>
        <v>3.3599999999999998E-4</v>
      </c>
      <c r="F73" s="20">
        <f>E73*F35</f>
        <v>1.6806252959999999</v>
      </c>
      <c r="H73" s="24" t="s">
        <v>39</v>
      </c>
      <c r="I73" s="25" t="s">
        <v>105</v>
      </c>
      <c r="J73" s="35">
        <f>0.08*J72</f>
        <v>3.3599999999999998E-4</v>
      </c>
      <c r="K73" s="20">
        <f>J73*K35</f>
        <v>1.6806252959999999</v>
      </c>
    </row>
    <row r="74" spans="2:11" x14ac:dyDescent="0.25">
      <c r="B74" s="129" t="s">
        <v>202</v>
      </c>
      <c r="C74" s="24" t="s">
        <v>42</v>
      </c>
      <c r="D74" s="25" t="s">
        <v>106</v>
      </c>
      <c r="E74" s="35">
        <f>0.4*0.08*0.05</f>
        <v>1.6000000000000001E-3</v>
      </c>
      <c r="F74" s="20">
        <f>F35*E74</f>
        <v>8.0029775999999995</v>
      </c>
      <c r="H74" s="24" t="s">
        <v>42</v>
      </c>
      <c r="I74" s="25" t="s">
        <v>106</v>
      </c>
      <c r="J74" s="35">
        <f>0.4*0.08*0.05</f>
        <v>1.6000000000000001E-3</v>
      </c>
      <c r="K74" s="20">
        <f>K35*J74</f>
        <v>8.0029775999999995</v>
      </c>
    </row>
    <row r="75" spans="2:11" x14ac:dyDescent="0.25">
      <c r="B75" s="129" t="s">
        <v>203</v>
      </c>
      <c r="C75" s="24" t="s">
        <v>44</v>
      </c>
      <c r="D75" s="25" t="s">
        <v>198</v>
      </c>
      <c r="E75" s="35">
        <f>((7/30)/12)</f>
        <v>1.9444444444444445E-2</v>
      </c>
      <c r="F75" s="20">
        <f>E75*F35</f>
        <v>97.258408333333335</v>
      </c>
      <c r="H75" s="24" t="s">
        <v>44</v>
      </c>
      <c r="I75" s="25" t="s">
        <v>198</v>
      </c>
      <c r="J75" s="35">
        <f>((7/30)/12)</f>
        <v>1.9444444444444445E-2</v>
      </c>
      <c r="K75" s="20">
        <f>J75*K35</f>
        <v>97.258408333333335</v>
      </c>
    </row>
    <row r="76" spans="2:11" ht="25.5" x14ac:dyDescent="0.25">
      <c r="B76" s="129" t="s">
        <v>1087</v>
      </c>
      <c r="C76" s="24" t="s">
        <v>47</v>
      </c>
      <c r="D76" s="25" t="s">
        <v>108</v>
      </c>
      <c r="E76" s="35">
        <f>0.368*E75</f>
        <v>7.1555555555555556E-3</v>
      </c>
      <c r="F76" s="20">
        <f>F35*E76</f>
        <v>35.791094266666668</v>
      </c>
      <c r="H76" s="24" t="s">
        <v>47</v>
      </c>
      <c r="I76" s="25" t="s">
        <v>108</v>
      </c>
      <c r="J76" s="35">
        <f>0.368*J75</f>
        <v>7.1555555555555556E-3</v>
      </c>
      <c r="K76" s="20">
        <f>K35*J76</f>
        <v>35.791094266666668</v>
      </c>
    </row>
    <row r="77" spans="2:11" x14ac:dyDescent="0.25">
      <c r="B77" s="129" t="s">
        <v>204</v>
      </c>
      <c r="C77" s="24" t="s">
        <v>50</v>
      </c>
      <c r="D77" s="25" t="s">
        <v>109</v>
      </c>
      <c r="E77" s="35">
        <f>0.4*0.08*0.95</f>
        <v>3.04E-2</v>
      </c>
      <c r="F77" s="20">
        <f>F35*E77</f>
        <v>152.05657439999999</v>
      </c>
      <c r="H77" s="24" t="s">
        <v>50</v>
      </c>
      <c r="I77" s="25" t="s">
        <v>109</v>
      </c>
      <c r="J77" s="35">
        <f>0.4*0.08*0.95</f>
        <v>3.04E-2</v>
      </c>
      <c r="K77" s="20">
        <f>K35*J77</f>
        <v>152.05657439999999</v>
      </c>
    </row>
    <row r="78" spans="2:11" x14ac:dyDescent="0.25">
      <c r="C78" s="202" t="s">
        <v>110</v>
      </c>
      <c r="D78" s="203"/>
      <c r="E78" s="204"/>
      <c r="F78" s="22">
        <f>SUM(F72:F77)</f>
        <v>315.79749609600003</v>
      </c>
      <c r="H78" s="202" t="s">
        <v>110</v>
      </c>
      <c r="I78" s="203"/>
      <c r="J78" s="204"/>
      <c r="K78" s="22">
        <f>SUM(K72:K77)</f>
        <v>315.79749609600003</v>
      </c>
    </row>
    <row r="79" spans="2:11" x14ac:dyDescent="0.25">
      <c r="C79" s="193"/>
      <c r="D79" s="194"/>
      <c r="E79" s="194"/>
      <c r="F79" s="195"/>
      <c r="H79" s="193"/>
      <c r="I79" s="194"/>
      <c r="J79" s="194"/>
      <c r="K79" s="195"/>
    </row>
    <row r="80" spans="2:11" x14ac:dyDescent="0.25">
      <c r="C80" s="190" t="s">
        <v>111</v>
      </c>
      <c r="D80" s="191"/>
      <c r="E80" s="191"/>
      <c r="F80" s="192"/>
      <c r="H80" s="190" t="s">
        <v>111</v>
      </c>
      <c r="I80" s="191"/>
      <c r="J80" s="191"/>
      <c r="K80" s="192"/>
    </row>
    <row r="81" spans="3:11" x14ac:dyDescent="0.25">
      <c r="C81" s="210"/>
      <c r="D81" s="211"/>
      <c r="E81" s="211"/>
      <c r="F81" s="212"/>
      <c r="H81" s="210"/>
      <c r="I81" s="211"/>
      <c r="J81" s="211"/>
      <c r="K81" s="212"/>
    </row>
    <row r="82" spans="3:11" x14ac:dyDescent="0.25">
      <c r="C82" s="22" t="s">
        <v>112</v>
      </c>
      <c r="D82" s="23" t="s">
        <v>113</v>
      </c>
      <c r="E82" s="26" t="s">
        <v>77</v>
      </c>
      <c r="F82" s="22" t="s">
        <v>65</v>
      </c>
      <c r="H82" s="22" t="s">
        <v>112</v>
      </c>
      <c r="I82" s="23" t="s">
        <v>113</v>
      </c>
      <c r="J82" s="26" t="s">
        <v>77</v>
      </c>
      <c r="K82" s="22" t="s">
        <v>65</v>
      </c>
    </row>
    <row r="83" spans="3:11" x14ac:dyDescent="0.25">
      <c r="C83" s="24" t="s">
        <v>66</v>
      </c>
      <c r="D83" s="25" t="s">
        <v>114</v>
      </c>
      <c r="E83" s="35">
        <f>(((1+1/3)/12)/12)</f>
        <v>9.2592592592592587E-3</v>
      </c>
      <c r="F83" s="20">
        <f>($F$78+$F$67+$F$35)*E83</f>
        <v>85.603168241629604</v>
      </c>
      <c r="H83" s="24" t="s">
        <v>66</v>
      </c>
      <c r="I83" s="25" t="s">
        <v>114</v>
      </c>
      <c r="J83" s="35">
        <f>(((1+1/3)/12)/12)</f>
        <v>9.2592592592592587E-3</v>
      </c>
      <c r="K83" s="20">
        <f>($F$78+$F$67+$F$35)*J83</f>
        <v>85.603168241629604</v>
      </c>
    </row>
    <row r="84" spans="3:11" x14ac:dyDescent="0.25">
      <c r="C84" s="24" t="s">
        <v>39</v>
      </c>
      <c r="D84" s="25" t="s">
        <v>115</v>
      </c>
      <c r="E84" s="35">
        <f>((2/30)/12)</f>
        <v>5.5555555555555558E-3</v>
      </c>
      <c r="F84" s="20">
        <f t="shared" ref="F84:F88" si="2">($F$78+$F$67+$F$35)*E84</f>
        <v>51.361900944977769</v>
      </c>
      <c r="H84" s="24" t="s">
        <v>39</v>
      </c>
      <c r="I84" s="25" t="s">
        <v>115</v>
      </c>
      <c r="J84" s="35">
        <f>((2/30)/12)</f>
        <v>5.5555555555555558E-3</v>
      </c>
      <c r="K84" s="20">
        <f t="shared" ref="K84:K88" si="3">($F$78+$F$67+$F$35)*J84</f>
        <v>51.361900944977769</v>
      </c>
    </row>
    <row r="85" spans="3:11" x14ac:dyDescent="0.25">
      <c r="C85" s="24" t="s">
        <v>42</v>
      </c>
      <c r="D85" s="25" t="s">
        <v>116</v>
      </c>
      <c r="E85" s="52">
        <f>((5/30)/12)*0.015</f>
        <v>2.0833333333333332E-4</v>
      </c>
      <c r="F85" s="20">
        <f t="shared" si="2"/>
        <v>1.9260712854366662</v>
      </c>
      <c r="H85" s="24" t="s">
        <v>42</v>
      </c>
      <c r="I85" s="25" t="s">
        <v>116</v>
      </c>
      <c r="J85" s="52">
        <f>((5/30)/12)*0.015</f>
        <v>2.0833333333333332E-4</v>
      </c>
      <c r="K85" s="20">
        <f t="shared" si="3"/>
        <v>1.9260712854366662</v>
      </c>
    </row>
    <row r="86" spans="3:11" x14ac:dyDescent="0.25">
      <c r="C86" s="24" t="s">
        <v>44</v>
      </c>
      <c r="D86" s="25" t="s">
        <v>117</v>
      </c>
      <c r="E86" s="35">
        <f>(((15/30)/12)*0.08)</f>
        <v>3.3333333333333331E-3</v>
      </c>
      <c r="F86" s="20">
        <f t="shared" si="2"/>
        <v>30.817140566986659</v>
      </c>
      <c r="H86" s="24" t="s">
        <v>44</v>
      </c>
      <c r="I86" s="25" t="s">
        <v>117</v>
      </c>
      <c r="J86" s="35">
        <f>(((15/30)/12)*0.08)</f>
        <v>3.3333333333333331E-3</v>
      </c>
      <c r="K86" s="20">
        <f t="shared" si="3"/>
        <v>30.817140566986659</v>
      </c>
    </row>
    <row r="87" spans="3:11" x14ac:dyDescent="0.25">
      <c r="C87" s="24" t="s">
        <v>47</v>
      </c>
      <c r="D87" s="25" t="s">
        <v>118</v>
      </c>
      <c r="E87" s="52">
        <f>0.0144*0.1*0.4509*6/12</f>
        <v>3.2464800000000003E-4</v>
      </c>
      <c r="F87" s="20">
        <f t="shared" si="2"/>
        <v>3.0014169152373258</v>
      </c>
      <c r="H87" s="24" t="s">
        <v>47</v>
      </c>
      <c r="I87" s="25" t="s">
        <v>118</v>
      </c>
      <c r="J87" s="52">
        <f>0.0144*0.1*0.4509*6/12</f>
        <v>3.2464800000000003E-4</v>
      </c>
      <c r="K87" s="20">
        <f t="shared" si="3"/>
        <v>3.0014169152373258</v>
      </c>
    </row>
    <row r="88" spans="3:11" x14ac:dyDescent="0.25">
      <c r="C88" s="24" t="s">
        <v>50</v>
      </c>
      <c r="D88" s="25" t="s">
        <v>119</v>
      </c>
      <c r="E88" s="35">
        <v>0</v>
      </c>
      <c r="F88" s="20">
        <f t="shared" si="2"/>
        <v>0</v>
      </c>
      <c r="H88" s="24" t="s">
        <v>50</v>
      </c>
      <c r="I88" s="25" t="s">
        <v>119</v>
      </c>
      <c r="J88" s="35">
        <v>0</v>
      </c>
      <c r="K88" s="20">
        <f t="shared" si="3"/>
        <v>0</v>
      </c>
    </row>
    <row r="89" spans="3:11" x14ac:dyDescent="0.25">
      <c r="C89" s="202" t="s">
        <v>80</v>
      </c>
      <c r="D89" s="203"/>
      <c r="E89" s="204"/>
      <c r="F89" s="22">
        <f>SUM(F83:F88)</f>
        <v>172.70969795426802</v>
      </c>
      <c r="H89" s="202" t="s">
        <v>80</v>
      </c>
      <c r="I89" s="203"/>
      <c r="J89" s="204"/>
      <c r="K89" s="22">
        <f>SUM(K83:K88)</f>
        <v>172.70969795426802</v>
      </c>
    </row>
    <row r="90" spans="3:11" x14ac:dyDescent="0.25">
      <c r="C90" s="193"/>
      <c r="D90" s="194"/>
      <c r="E90" s="194"/>
      <c r="F90" s="195"/>
      <c r="H90" s="193"/>
      <c r="I90" s="194"/>
      <c r="J90" s="194"/>
      <c r="K90" s="195"/>
    </row>
    <row r="91" spans="3:11" x14ac:dyDescent="0.25">
      <c r="C91" s="27" t="s">
        <v>120</v>
      </c>
      <c r="D91" s="27" t="s">
        <v>121</v>
      </c>
      <c r="E91" s="26" t="s">
        <v>77</v>
      </c>
      <c r="F91" s="22" t="s">
        <v>65</v>
      </c>
      <c r="H91" s="27" t="s">
        <v>120</v>
      </c>
      <c r="I91" s="27" t="s">
        <v>121</v>
      </c>
      <c r="J91" s="26" t="s">
        <v>77</v>
      </c>
      <c r="K91" s="22" t="s">
        <v>65</v>
      </c>
    </row>
    <row r="92" spans="3:11" x14ac:dyDescent="0.25">
      <c r="C92" s="20" t="s">
        <v>66</v>
      </c>
      <c r="D92" s="21" t="s">
        <v>122</v>
      </c>
      <c r="E92" s="28">
        <v>0</v>
      </c>
      <c r="F92" s="20">
        <v>0</v>
      </c>
      <c r="H92" s="20" t="s">
        <v>66</v>
      </c>
      <c r="I92" s="21" t="s">
        <v>122</v>
      </c>
      <c r="J92" s="28">
        <v>0</v>
      </c>
      <c r="K92" s="20">
        <v>0</v>
      </c>
    </row>
    <row r="93" spans="3:11" x14ac:dyDescent="0.25">
      <c r="C93" s="202" t="s">
        <v>80</v>
      </c>
      <c r="D93" s="204"/>
      <c r="E93" s="39">
        <v>0</v>
      </c>
      <c r="F93" s="22">
        <v>0</v>
      </c>
      <c r="H93" s="202" t="s">
        <v>80</v>
      </c>
      <c r="I93" s="204"/>
      <c r="J93" s="39">
        <v>0</v>
      </c>
      <c r="K93" s="22">
        <v>0</v>
      </c>
    </row>
    <row r="94" spans="3:11" x14ac:dyDescent="0.25">
      <c r="C94" s="193"/>
      <c r="D94" s="194"/>
      <c r="E94" s="194"/>
      <c r="F94" s="195"/>
      <c r="H94" s="193"/>
      <c r="I94" s="194"/>
      <c r="J94" s="194"/>
      <c r="K94" s="195"/>
    </row>
    <row r="95" spans="3:11" x14ac:dyDescent="0.25">
      <c r="C95" s="202" t="s">
        <v>123</v>
      </c>
      <c r="D95" s="203"/>
      <c r="E95" s="204"/>
      <c r="F95" s="22" t="s">
        <v>65</v>
      </c>
      <c r="H95" s="202" t="s">
        <v>123</v>
      </c>
      <c r="I95" s="203"/>
      <c r="J95" s="204"/>
      <c r="K95" s="22" t="s">
        <v>65</v>
      </c>
    </row>
    <row r="96" spans="3:11" x14ac:dyDescent="0.25">
      <c r="C96" s="20" t="s">
        <v>112</v>
      </c>
      <c r="D96" s="213" t="s">
        <v>113</v>
      </c>
      <c r="E96" s="214"/>
      <c r="F96" s="20">
        <f>F89</f>
        <v>172.70969795426802</v>
      </c>
      <c r="H96" s="20" t="s">
        <v>112</v>
      </c>
      <c r="I96" s="213" t="s">
        <v>113</v>
      </c>
      <c r="J96" s="214"/>
      <c r="K96" s="20">
        <f>K89</f>
        <v>172.70969795426802</v>
      </c>
    </row>
    <row r="97" spans="3:11" x14ac:dyDescent="0.25">
      <c r="C97" s="20" t="s">
        <v>120</v>
      </c>
      <c r="D97" s="213" t="s">
        <v>121</v>
      </c>
      <c r="E97" s="214"/>
      <c r="F97" s="20">
        <v>0</v>
      </c>
      <c r="H97" s="20" t="s">
        <v>120</v>
      </c>
      <c r="I97" s="213" t="s">
        <v>121</v>
      </c>
      <c r="J97" s="214"/>
      <c r="K97" s="20">
        <v>0</v>
      </c>
    </row>
    <row r="98" spans="3:11" x14ac:dyDescent="0.25">
      <c r="C98" s="202" t="s">
        <v>124</v>
      </c>
      <c r="D98" s="203"/>
      <c r="E98" s="204"/>
      <c r="F98" s="22">
        <f>SUM(F96:F97)</f>
        <v>172.70969795426802</v>
      </c>
      <c r="H98" s="202" t="s">
        <v>124</v>
      </c>
      <c r="I98" s="203"/>
      <c r="J98" s="204"/>
      <c r="K98" s="22">
        <f>SUM(K96:K97)</f>
        <v>172.70969795426802</v>
      </c>
    </row>
    <row r="99" spans="3:11" x14ac:dyDescent="0.25">
      <c r="C99" s="193"/>
      <c r="D99" s="194"/>
      <c r="E99" s="194"/>
      <c r="F99" s="195"/>
      <c r="H99" s="193"/>
      <c r="I99" s="194"/>
      <c r="J99" s="194"/>
      <c r="K99" s="195"/>
    </row>
    <row r="100" spans="3:11" x14ac:dyDescent="0.25">
      <c r="C100" s="190" t="s">
        <v>125</v>
      </c>
      <c r="D100" s="191"/>
      <c r="E100" s="191"/>
      <c r="F100" s="192"/>
      <c r="H100" s="190" t="s">
        <v>125</v>
      </c>
      <c r="I100" s="191"/>
      <c r="J100" s="191"/>
      <c r="K100" s="192"/>
    </row>
    <row r="101" spans="3:11" x14ac:dyDescent="0.25">
      <c r="C101" s="210"/>
      <c r="D101" s="211"/>
      <c r="E101" s="211"/>
      <c r="F101" s="212"/>
      <c r="H101" s="210"/>
      <c r="I101" s="211"/>
      <c r="J101" s="211"/>
      <c r="K101" s="212"/>
    </row>
    <row r="102" spans="3:11" x14ac:dyDescent="0.25">
      <c r="C102" s="12">
        <v>5</v>
      </c>
      <c r="D102" s="202" t="s">
        <v>126</v>
      </c>
      <c r="E102" s="204"/>
      <c r="F102" s="22" t="s">
        <v>65</v>
      </c>
      <c r="H102" s="12">
        <v>5</v>
      </c>
      <c r="I102" s="202" t="s">
        <v>126</v>
      </c>
      <c r="J102" s="204"/>
      <c r="K102" s="22" t="s">
        <v>65</v>
      </c>
    </row>
    <row r="103" spans="3:11" x14ac:dyDescent="0.25">
      <c r="C103" s="24" t="s">
        <v>66</v>
      </c>
      <c r="D103" s="216" t="s">
        <v>127</v>
      </c>
      <c r="E103" s="217"/>
      <c r="F103" s="20">
        <f>UNIFORMES!E9</f>
        <v>75.355555555555569</v>
      </c>
      <c r="H103" s="24" t="s">
        <v>66</v>
      </c>
      <c r="I103" s="216" t="s">
        <v>127</v>
      </c>
      <c r="J103" s="217"/>
      <c r="K103" s="118">
        <f>UNIFORMES!E9</f>
        <v>75.355555555555569</v>
      </c>
    </row>
    <row r="104" spans="3:11" x14ac:dyDescent="0.25">
      <c r="C104" s="24" t="s">
        <v>39</v>
      </c>
      <c r="D104" s="29" t="s">
        <v>128</v>
      </c>
      <c r="E104" s="30"/>
      <c r="F104" s="20">
        <v>0</v>
      </c>
      <c r="H104" s="24" t="s">
        <v>39</v>
      </c>
      <c r="I104" s="29" t="s">
        <v>128</v>
      </c>
      <c r="J104" s="30"/>
      <c r="K104" s="20">
        <v>0</v>
      </c>
    </row>
    <row r="105" spans="3:11" x14ac:dyDescent="0.25">
      <c r="C105" s="24" t="s">
        <v>42</v>
      </c>
      <c r="D105" s="216" t="s">
        <v>129</v>
      </c>
      <c r="E105" s="217"/>
      <c r="F105" s="118">
        <f>'Ferramentas de Uso Geral'!E60</f>
        <v>39.018233333333328</v>
      </c>
      <c r="H105" s="24" t="s">
        <v>42</v>
      </c>
      <c r="I105" s="216" t="s">
        <v>129</v>
      </c>
      <c r="J105" s="217"/>
      <c r="K105" s="118">
        <f>'Ferramentas de Uso Geral'!E60</f>
        <v>39.018233333333328</v>
      </c>
    </row>
    <row r="106" spans="3:11" x14ac:dyDescent="0.25">
      <c r="C106" s="24" t="s">
        <v>44</v>
      </c>
      <c r="D106" s="216" t="s">
        <v>130</v>
      </c>
      <c r="E106" s="217"/>
      <c r="F106" s="20">
        <v>0</v>
      </c>
      <c r="H106" s="24" t="s">
        <v>44</v>
      </c>
      <c r="I106" s="216" t="s">
        <v>130</v>
      </c>
      <c r="J106" s="217"/>
      <c r="K106" s="20">
        <v>0</v>
      </c>
    </row>
    <row r="107" spans="3:11" x14ac:dyDescent="0.25">
      <c r="C107" s="202" t="s">
        <v>131</v>
      </c>
      <c r="D107" s="203"/>
      <c r="E107" s="204"/>
      <c r="F107" s="22">
        <f>SUM(F103:F106)</f>
        <v>114.3737888888889</v>
      </c>
      <c r="H107" s="202" t="s">
        <v>131</v>
      </c>
      <c r="I107" s="203"/>
      <c r="J107" s="204"/>
      <c r="K107" s="22">
        <f>SUM(K103:K106)</f>
        <v>114.3737888888889</v>
      </c>
    </row>
    <row r="108" spans="3:11" x14ac:dyDescent="0.25">
      <c r="C108" s="193"/>
      <c r="D108" s="194"/>
      <c r="E108" s="194"/>
      <c r="F108" s="195"/>
      <c r="H108" s="193"/>
      <c r="I108" s="194"/>
      <c r="J108" s="194"/>
      <c r="K108" s="195"/>
    </row>
    <row r="109" spans="3:11" x14ac:dyDescent="0.25">
      <c r="C109" s="215" t="s">
        <v>132</v>
      </c>
      <c r="D109" s="215"/>
      <c r="E109" s="215"/>
      <c r="F109" s="41">
        <f>F107+F98+F78+F35+F67</f>
        <v>9532.2256569391557</v>
      </c>
      <c r="H109" s="215" t="s">
        <v>132</v>
      </c>
      <c r="I109" s="215"/>
      <c r="J109" s="215"/>
      <c r="K109" s="41">
        <f>K107+K98+K78+K35+K67</f>
        <v>8337.3366402724896</v>
      </c>
    </row>
    <row r="110" spans="3:11" x14ac:dyDescent="0.25">
      <c r="C110" s="189"/>
      <c r="D110" s="189"/>
      <c r="E110" s="189"/>
      <c r="F110" s="189"/>
      <c r="H110" s="189"/>
      <c r="I110" s="189"/>
      <c r="J110" s="189"/>
      <c r="K110" s="189"/>
    </row>
    <row r="111" spans="3:11" x14ac:dyDescent="0.25">
      <c r="C111" s="228" t="s">
        <v>133</v>
      </c>
      <c r="D111" s="228"/>
      <c r="E111" s="228"/>
      <c r="F111" s="228"/>
      <c r="H111" s="228" t="s">
        <v>133</v>
      </c>
      <c r="I111" s="228"/>
      <c r="J111" s="228"/>
      <c r="K111" s="228"/>
    </row>
    <row r="112" spans="3:11" x14ac:dyDescent="0.25">
      <c r="C112" s="193"/>
      <c r="D112" s="194"/>
      <c r="E112" s="194"/>
      <c r="F112" s="195"/>
      <c r="H112" s="193"/>
      <c r="I112" s="194"/>
      <c r="J112" s="194"/>
      <c r="K112" s="195"/>
    </row>
    <row r="113" spans="3:12" x14ac:dyDescent="0.25">
      <c r="C113" s="12">
        <v>6</v>
      </c>
      <c r="D113" s="40" t="s">
        <v>134</v>
      </c>
      <c r="E113" s="22" t="s">
        <v>77</v>
      </c>
      <c r="F113" s="22" t="s">
        <v>65</v>
      </c>
      <c r="H113" s="12">
        <v>6</v>
      </c>
      <c r="I113" s="40" t="s">
        <v>134</v>
      </c>
      <c r="J113" s="22" t="s">
        <v>77</v>
      </c>
      <c r="K113" s="22" t="s">
        <v>65</v>
      </c>
    </row>
    <row r="114" spans="3:12" x14ac:dyDescent="0.25">
      <c r="C114" s="24" t="s">
        <v>66</v>
      </c>
      <c r="D114" s="25" t="s">
        <v>135</v>
      </c>
      <c r="E114" s="35">
        <f>6.06/100</f>
        <v>6.0599999999999994E-2</v>
      </c>
      <c r="F114" s="20">
        <f>E114*F109</f>
        <v>577.6528748105128</v>
      </c>
      <c r="H114" s="24" t="s">
        <v>66</v>
      </c>
      <c r="I114" s="25" t="s">
        <v>135</v>
      </c>
      <c r="J114" s="35">
        <f>6.06/100</f>
        <v>6.0599999999999994E-2</v>
      </c>
      <c r="K114" s="20">
        <f>J114*K109</f>
        <v>505.2426004005128</v>
      </c>
    </row>
    <row r="115" spans="3:12" x14ac:dyDescent="0.25">
      <c r="C115" s="24" t="s">
        <v>39</v>
      </c>
      <c r="D115" s="25" t="s">
        <v>136</v>
      </c>
      <c r="E115" s="35">
        <f>7.4/100</f>
        <v>7.400000000000001E-2</v>
      </c>
      <c r="F115" s="20">
        <f>E115*(F109+F114)</f>
        <v>748.13101134947556</v>
      </c>
      <c r="H115" s="24" t="s">
        <v>39</v>
      </c>
      <c r="I115" s="25" t="s">
        <v>136</v>
      </c>
      <c r="J115" s="35">
        <f>7.4/100</f>
        <v>7.400000000000001E-2</v>
      </c>
      <c r="K115" s="20">
        <f>J115*(K109+K114)</f>
        <v>654.35086380980215</v>
      </c>
    </row>
    <row r="116" spans="3:12" x14ac:dyDescent="0.25">
      <c r="C116" s="24" t="s">
        <v>42</v>
      </c>
      <c r="D116" s="208" t="s">
        <v>137</v>
      </c>
      <c r="E116" s="218"/>
      <c r="F116" s="209"/>
      <c r="H116" s="24" t="s">
        <v>42</v>
      </c>
      <c r="I116" s="208" t="s">
        <v>137</v>
      </c>
      <c r="J116" s="218"/>
      <c r="K116" s="209"/>
    </row>
    <row r="117" spans="3:12" x14ac:dyDescent="0.25">
      <c r="C117" s="24" t="s">
        <v>138</v>
      </c>
      <c r="D117" s="7" t="s">
        <v>205</v>
      </c>
      <c r="E117" s="219">
        <v>6.6500000000000004E-2</v>
      </c>
      <c r="F117" s="222">
        <f>((F114+F109+F115)/(1-E117))-(F109+F115+F114)</f>
        <v>773.49505582870188</v>
      </c>
      <c r="H117" s="24" t="s">
        <v>138</v>
      </c>
      <c r="I117" s="7" t="s">
        <v>205</v>
      </c>
      <c r="J117" s="219">
        <v>8.6499999999999994E-2</v>
      </c>
      <c r="K117" s="222">
        <f>((K114+K109+K115)/(1-J117))-(K109+K115+K114)</f>
        <v>899.27143299153067</v>
      </c>
    </row>
    <row r="118" spans="3:12" x14ac:dyDescent="0.25">
      <c r="C118" s="24" t="s">
        <v>139</v>
      </c>
      <c r="D118" s="7" t="s">
        <v>206</v>
      </c>
      <c r="E118" s="220"/>
      <c r="F118" s="223"/>
      <c r="H118" s="24" t="s">
        <v>139</v>
      </c>
      <c r="I118" s="7" t="s">
        <v>206</v>
      </c>
      <c r="J118" s="220"/>
      <c r="K118" s="223"/>
      <c r="L118" s="160"/>
    </row>
    <row r="119" spans="3:12" x14ac:dyDescent="0.25">
      <c r="C119" s="24" t="s">
        <v>140</v>
      </c>
      <c r="D119" s="155" t="s">
        <v>1149</v>
      </c>
      <c r="E119" s="221"/>
      <c r="F119" s="224"/>
      <c r="H119" s="24" t="s">
        <v>140</v>
      </c>
      <c r="I119" s="155" t="s">
        <v>1149</v>
      </c>
      <c r="J119" s="221"/>
      <c r="K119" s="224"/>
    </row>
    <row r="120" spans="3:12" x14ac:dyDescent="0.25">
      <c r="C120" s="229" t="s">
        <v>141</v>
      </c>
      <c r="D120" s="230"/>
      <c r="E120" s="231"/>
      <c r="F120" s="22">
        <f>SUM(F114,F115,F117,F118,F119)</f>
        <v>2099.2789419886903</v>
      </c>
      <c r="H120" s="229" t="s">
        <v>141</v>
      </c>
      <c r="I120" s="230"/>
      <c r="J120" s="231"/>
      <c r="K120" s="22">
        <f>SUM(K114,K115,K117,K118,K119)</f>
        <v>2058.8648972018455</v>
      </c>
    </row>
    <row r="121" spans="3:12" x14ac:dyDescent="0.25">
      <c r="C121" s="193"/>
      <c r="D121" s="194"/>
      <c r="E121" s="194"/>
      <c r="F121" s="195"/>
      <c r="H121" s="193"/>
      <c r="I121" s="194"/>
      <c r="J121" s="194"/>
      <c r="K121" s="195"/>
    </row>
    <row r="122" spans="3:12" x14ac:dyDescent="0.25">
      <c r="C122" s="232" t="s">
        <v>142</v>
      </c>
      <c r="D122" s="233"/>
      <c r="E122" s="234"/>
      <c r="F122" s="43" t="s">
        <v>65</v>
      </c>
      <c r="H122" s="232" t="s">
        <v>142</v>
      </c>
      <c r="I122" s="233"/>
      <c r="J122" s="234"/>
      <c r="K122" s="43" t="s">
        <v>65</v>
      </c>
    </row>
    <row r="123" spans="3:12" x14ac:dyDescent="0.25">
      <c r="C123" s="180" t="s">
        <v>143</v>
      </c>
      <c r="D123" s="181"/>
      <c r="E123" s="181"/>
      <c r="F123" s="182"/>
      <c r="H123" s="180" t="s">
        <v>143</v>
      </c>
      <c r="I123" s="181"/>
      <c r="J123" s="181"/>
      <c r="K123" s="182"/>
    </row>
    <row r="124" spans="3:12" x14ac:dyDescent="0.25">
      <c r="C124" s="6" t="s">
        <v>66</v>
      </c>
      <c r="D124" s="183" t="s">
        <v>144</v>
      </c>
      <c r="E124" s="184"/>
      <c r="F124" s="20">
        <f>F35</f>
        <v>5001.8609999999999</v>
      </c>
      <c r="H124" s="6" t="s">
        <v>66</v>
      </c>
      <c r="I124" s="183" t="s">
        <v>144</v>
      </c>
      <c r="J124" s="184"/>
      <c r="K124" s="20">
        <f>K35</f>
        <v>5001.8609999999999</v>
      </c>
    </row>
    <row r="125" spans="3:12" x14ac:dyDescent="0.25">
      <c r="C125" s="6" t="s">
        <v>39</v>
      </c>
      <c r="D125" s="183" t="s">
        <v>145</v>
      </c>
      <c r="E125" s="184"/>
      <c r="F125" s="20">
        <f>F67</f>
        <v>3927.4836739999996</v>
      </c>
      <c r="H125" s="6" t="s">
        <v>39</v>
      </c>
      <c r="I125" s="183" t="s">
        <v>145</v>
      </c>
      <c r="J125" s="184"/>
      <c r="K125" s="20">
        <f>K67</f>
        <v>2732.5946573333331</v>
      </c>
    </row>
    <row r="126" spans="3:12" x14ac:dyDescent="0.25">
      <c r="C126" s="6" t="s">
        <v>42</v>
      </c>
      <c r="D126" s="183" t="s">
        <v>146</v>
      </c>
      <c r="E126" s="184"/>
      <c r="F126" s="20">
        <f>F78</f>
        <v>315.79749609600003</v>
      </c>
      <c r="H126" s="6" t="s">
        <v>42</v>
      </c>
      <c r="I126" s="183" t="s">
        <v>146</v>
      </c>
      <c r="J126" s="184"/>
      <c r="K126" s="20">
        <f>K78</f>
        <v>315.79749609600003</v>
      </c>
    </row>
    <row r="127" spans="3:12" x14ac:dyDescent="0.25">
      <c r="C127" s="6" t="s">
        <v>44</v>
      </c>
      <c r="D127" s="183" t="s">
        <v>147</v>
      </c>
      <c r="E127" s="184"/>
      <c r="F127" s="20">
        <f>F98</f>
        <v>172.70969795426802</v>
      </c>
      <c r="H127" s="6" t="s">
        <v>44</v>
      </c>
      <c r="I127" s="183" t="s">
        <v>147</v>
      </c>
      <c r="J127" s="184"/>
      <c r="K127" s="20">
        <f>K98</f>
        <v>172.70969795426802</v>
      </c>
    </row>
    <row r="128" spans="3:12" x14ac:dyDescent="0.25">
      <c r="C128" s="6" t="s">
        <v>47</v>
      </c>
      <c r="D128" s="183" t="s">
        <v>148</v>
      </c>
      <c r="E128" s="184"/>
      <c r="F128" s="20">
        <f>F107</f>
        <v>114.3737888888889</v>
      </c>
      <c r="H128" s="6" t="s">
        <v>47</v>
      </c>
      <c r="I128" s="183" t="s">
        <v>148</v>
      </c>
      <c r="J128" s="184"/>
      <c r="K128" s="20">
        <f>K107</f>
        <v>114.3737888888889</v>
      </c>
    </row>
    <row r="129" spans="3:11" x14ac:dyDescent="0.25">
      <c r="C129" s="235" t="s">
        <v>149</v>
      </c>
      <c r="D129" s="236"/>
      <c r="E129" s="237"/>
      <c r="F129" s="20">
        <f>SUM(F124:F128)</f>
        <v>9532.2256569391557</v>
      </c>
      <c r="H129" s="235" t="s">
        <v>149</v>
      </c>
      <c r="I129" s="236"/>
      <c r="J129" s="237"/>
      <c r="K129" s="20">
        <f>SUM(K124:K128)</f>
        <v>8337.3366402724896</v>
      </c>
    </row>
    <row r="130" spans="3:11" x14ac:dyDescent="0.25">
      <c r="C130" s="6" t="s">
        <v>150</v>
      </c>
      <c r="D130" s="183" t="s">
        <v>151</v>
      </c>
      <c r="E130" s="184"/>
      <c r="F130" s="20">
        <f>F120</f>
        <v>2099.2789419886903</v>
      </c>
      <c r="H130" s="6" t="s">
        <v>150</v>
      </c>
      <c r="I130" s="183" t="s">
        <v>151</v>
      </c>
      <c r="J130" s="184"/>
      <c r="K130" s="20">
        <f>K120</f>
        <v>2058.8648972018455</v>
      </c>
    </row>
    <row r="131" spans="3:11" x14ac:dyDescent="0.25">
      <c r="C131" s="199" t="s">
        <v>152</v>
      </c>
      <c r="D131" s="201"/>
      <c r="E131" s="200"/>
      <c r="F131" s="42">
        <f>F129+F130</f>
        <v>11631.504598927846</v>
      </c>
      <c r="H131" s="199" t="s">
        <v>152</v>
      </c>
      <c r="I131" s="201"/>
      <c r="J131" s="200"/>
      <c r="K131" s="42">
        <f>K129+K130</f>
        <v>10396.201537474335</v>
      </c>
    </row>
    <row r="132" spans="3:11" x14ac:dyDescent="0.25">
      <c r="C132" s="199" t="s">
        <v>1084</v>
      </c>
      <c r="D132" s="201"/>
      <c r="E132" s="200"/>
      <c r="F132" s="42">
        <f>F131/220</f>
        <v>52.870475449672028</v>
      </c>
      <c r="H132" s="199" t="s">
        <v>1084</v>
      </c>
      <c r="I132" s="201"/>
      <c r="J132" s="200"/>
      <c r="K132" s="42">
        <f>K131/220</f>
        <v>47.255461533974248</v>
      </c>
    </row>
    <row r="136" spans="3:11" x14ac:dyDescent="0.25">
      <c r="I136">
        <f>13.15-8.65</f>
        <v>4.5</v>
      </c>
    </row>
  </sheetData>
  <mergeCells count="164">
    <mergeCell ref="C132:E132"/>
    <mergeCell ref="H132:J132"/>
    <mergeCell ref="C129:E129"/>
    <mergeCell ref="H129:J129"/>
    <mergeCell ref="D130:E130"/>
    <mergeCell ref="I130:J130"/>
    <mergeCell ref="C131:E131"/>
    <mergeCell ref="H131:J131"/>
    <mergeCell ref="D126:E126"/>
    <mergeCell ref="I126:J126"/>
    <mergeCell ref="D127:E127"/>
    <mergeCell ref="I127:J127"/>
    <mergeCell ref="D128:E128"/>
    <mergeCell ref="I128:J128"/>
    <mergeCell ref="C123:F123"/>
    <mergeCell ref="H123:K123"/>
    <mergeCell ref="D124:E124"/>
    <mergeCell ref="I124:J124"/>
    <mergeCell ref="D125:E125"/>
    <mergeCell ref="I125:J125"/>
    <mergeCell ref="C120:E120"/>
    <mergeCell ref="H120:J120"/>
    <mergeCell ref="C121:F121"/>
    <mergeCell ref="H121:K121"/>
    <mergeCell ref="C122:E122"/>
    <mergeCell ref="H122:J122"/>
    <mergeCell ref="D116:F116"/>
    <mergeCell ref="I116:K116"/>
    <mergeCell ref="E117:E119"/>
    <mergeCell ref="F117:F119"/>
    <mergeCell ref="J117:J119"/>
    <mergeCell ref="K117:K119"/>
    <mergeCell ref="C110:F110"/>
    <mergeCell ref="H110:K110"/>
    <mergeCell ref="C111:F111"/>
    <mergeCell ref="H111:K111"/>
    <mergeCell ref="C112:F112"/>
    <mergeCell ref="H112:K112"/>
    <mergeCell ref="C107:E107"/>
    <mergeCell ref="H107:J107"/>
    <mergeCell ref="C108:F108"/>
    <mergeCell ref="H108:K108"/>
    <mergeCell ref="C109:E109"/>
    <mergeCell ref="H109:J109"/>
    <mergeCell ref="D103:E103"/>
    <mergeCell ref="I103:J103"/>
    <mergeCell ref="D105:E105"/>
    <mergeCell ref="I105:J105"/>
    <mergeCell ref="D106:E106"/>
    <mergeCell ref="I106:J106"/>
    <mergeCell ref="C100:F100"/>
    <mergeCell ref="H100:K100"/>
    <mergeCell ref="C101:F101"/>
    <mergeCell ref="H101:K101"/>
    <mergeCell ref="D102:E102"/>
    <mergeCell ref="I102:J102"/>
    <mergeCell ref="D97:E97"/>
    <mergeCell ref="I97:J97"/>
    <mergeCell ref="C98:E98"/>
    <mergeCell ref="H98:J98"/>
    <mergeCell ref="C99:F99"/>
    <mergeCell ref="H99:K99"/>
    <mergeCell ref="C94:F94"/>
    <mergeCell ref="H94:K94"/>
    <mergeCell ref="C95:E95"/>
    <mergeCell ref="H95:J95"/>
    <mergeCell ref="D96:E96"/>
    <mergeCell ref="I96:J96"/>
    <mergeCell ref="C89:E89"/>
    <mergeCell ref="H89:J89"/>
    <mergeCell ref="C90:F90"/>
    <mergeCell ref="H90:K90"/>
    <mergeCell ref="C93:D93"/>
    <mergeCell ref="H93:I93"/>
    <mergeCell ref="C79:F79"/>
    <mergeCell ref="H79:K79"/>
    <mergeCell ref="C80:F80"/>
    <mergeCell ref="H80:K80"/>
    <mergeCell ref="C81:F81"/>
    <mergeCell ref="H81:K81"/>
    <mergeCell ref="C69:F69"/>
    <mergeCell ref="H69:K69"/>
    <mergeCell ref="C70:F70"/>
    <mergeCell ref="H70:K70"/>
    <mergeCell ref="C78:E78"/>
    <mergeCell ref="H78:J78"/>
    <mergeCell ref="D66:E66"/>
    <mergeCell ref="I66:J66"/>
    <mergeCell ref="C67:E67"/>
    <mergeCell ref="H67:J67"/>
    <mergeCell ref="C68:F68"/>
    <mergeCell ref="H68:K68"/>
    <mergeCell ref="C63:E63"/>
    <mergeCell ref="H63:J63"/>
    <mergeCell ref="D64:E64"/>
    <mergeCell ref="I64:J64"/>
    <mergeCell ref="D65:E65"/>
    <mergeCell ref="I65:J65"/>
    <mergeCell ref="C54:F54"/>
    <mergeCell ref="H54:K54"/>
    <mergeCell ref="C61:E61"/>
    <mergeCell ref="H61:J61"/>
    <mergeCell ref="C62:F62"/>
    <mergeCell ref="H62:K62"/>
    <mergeCell ref="C42:E42"/>
    <mergeCell ref="H42:J42"/>
    <mergeCell ref="C43:F43"/>
    <mergeCell ref="H43:K43"/>
    <mergeCell ref="C53:D53"/>
    <mergeCell ref="H53:I53"/>
    <mergeCell ref="C36:F36"/>
    <mergeCell ref="H36:K36"/>
    <mergeCell ref="C37:F37"/>
    <mergeCell ref="H37:K37"/>
    <mergeCell ref="C38:F38"/>
    <mergeCell ref="H38:K38"/>
    <mergeCell ref="C26:F26"/>
    <mergeCell ref="H26:K26"/>
    <mergeCell ref="D27:E27"/>
    <mergeCell ref="I27:J27"/>
    <mergeCell ref="C35:E35"/>
    <mergeCell ref="H35:J35"/>
    <mergeCell ref="D23:E23"/>
    <mergeCell ref="I23:J23"/>
    <mergeCell ref="C24:F24"/>
    <mergeCell ref="H24:K24"/>
    <mergeCell ref="C25:F25"/>
    <mergeCell ref="H25:K25"/>
    <mergeCell ref="C20:F20"/>
    <mergeCell ref="H20:K20"/>
    <mergeCell ref="D21:E21"/>
    <mergeCell ref="I21:J21"/>
    <mergeCell ref="D22:E22"/>
    <mergeCell ref="I22:J22"/>
    <mergeCell ref="E18:F18"/>
    <mergeCell ref="J18:K18"/>
    <mergeCell ref="E19:F19"/>
    <mergeCell ref="J19:K19"/>
    <mergeCell ref="C14:F14"/>
    <mergeCell ref="H14:K14"/>
    <mergeCell ref="C15:F15"/>
    <mergeCell ref="H15:K15"/>
    <mergeCell ref="C16:F16"/>
    <mergeCell ref="H16:K16"/>
    <mergeCell ref="E13:F13"/>
    <mergeCell ref="J13:K13"/>
    <mergeCell ref="E7:F7"/>
    <mergeCell ref="J7:K7"/>
    <mergeCell ref="E8:F8"/>
    <mergeCell ref="J8:K8"/>
    <mergeCell ref="E10:F10"/>
    <mergeCell ref="J10:K10"/>
    <mergeCell ref="E17:F17"/>
    <mergeCell ref="J17:K17"/>
    <mergeCell ref="C4:F4"/>
    <mergeCell ref="H4:K4"/>
    <mergeCell ref="C5:F5"/>
    <mergeCell ref="H5:K5"/>
    <mergeCell ref="C6:F6"/>
    <mergeCell ref="H6:K6"/>
    <mergeCell ref="E11:F11"/>
    <mergeCell ref="J11:K11"/>
    <mergeCell ref="E12:F12"/>
    <mergeCell ref="J12:K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CE1B-38CC-4AF2-B244-FB708209AE08}">
  <dimension ref="B4:M132"/>
  <sheetViews>
    <sheetView topLeftCell="A48" workbookViewId="0">
      <selection activeCell="M22" sqref="M22"/>
    </sheetView>
  </sheetViews>
  <sheetFormatPr defaultColWidth="9.140625" defaultRowHeight="15" x14ac:dyDescent="0.25"/>
  <cols>
    <col min="1" max="1" width="4.85546875" customWidth="1"/>
    <col min="2" max="2" width="37.5703125" customWidth="1"/>
    <col min="4" max="4" width="55.85546875" customWidth="1"/>
    <col min="5" max="5" width="12.140625" bestFit="1" customWidth="1"/>
    <col min="6" max="6" width="11.42578125" bestFit="1" customWidth="1"/>
    <col min="9" max="9" width="55.85546875" customWidth="1"/>
    <col min="10" max="10" width="12.140625" bestFit="1" customWidth="1"/>
    <col min="11" max="11" width="11.42578125" bestFit="1" customWidth="1"/>
    <col min="13" max="13" width="12.140625" bestFit="1" customWidth="1"/>
  </cols>
  <sheetData>
    <row r="4" spans="3:11" x14ac:dyDescent="0.25">
      <c r="C4" s="169" t="s">
        <v>193</v>
      </c>
      <c r="D4" s="169"/>
      <c r="E4" s="169"/>
      <c r="F4" s="169"/>
      <c r="H4" s="169" t="s">
        <v>193</v>
      </c>
      <c r="I4" s="169"/>
      <c r="J4" s="169"/>
      <c r="K4" s="169"/>
    </row>
    <row r="5" spans="3:11" x14ac:dyDescent="0.25">
      <c r="C5" s="170" t="s">
        <v>35</v>
      </c>
      <c r="D5" s="170"/>
      <c r="E5" s="170"/>
      <c r="F5" s="170"/>
      <c r="H5" s="170" t="s">
        <v>35</v>
      </c>
      <c r="I5" s="170"/>
      <c r="J5" s="170"/>
      <c r="K5" s="170"/>
    </row>
    <row r="6" spans="3:11" x14ac:dyDescent="0.25">
      <c r="C6" s="171" t="s">
        <v>36</v>
      </c>
      <c r="D6" s="171"/>
      <c r="E6" s="171"/>
      <c r="F6" s="171"/>
      <c r="H6" s="171" t="s">
        <v>36</v>
      </c>
      <c r="I6" s="171"/>
      <c r="J6" s="171"/>
      <c r="K6" s="171"/>
    </row>
    <row r="7" spans="3:11" x14ac:dyDescent="0.25">
      <c r="C7" s="6" t="s">
        <v>37</v>
      </c>
      <c r="D7" s="7" t="s">
        <v>38</v>
      </c>
      <c r="E7" s="172"/>
      <c r="F7" s="173"/>
      <c r="H7" s="6" t="s">
        <v>37</v>
      </c>
      <c r="I7" s="7" t="s">
        <v>38</v>
      </c>
      <c r="J7" s="172"/>
      <c r="K7" s="173"/>
    </row>
    <row r="8" spans="3:11" x14ac:dyDescent="0.25">
      <c r="C8" s="6" t="s">
        <v>39</v>
      </c>
      <c r="D8" s="7" t="s">
        <v>40</v>
      </c>
      <c r="E8" s="176" t="s">
        <v>41</v>
      </c>
      <c r="F8" s="176"/>
      <c r="H8" s="6" t="s">
        <v>39</v>
      </c>
      <c r="I8" s="7" t="s">
        <v>40</v>
      </c>
      <c r="J8" s="176" t="s">
        <v>41</v>
      </c>
      <c r="K8" s="176"/>
    </row>
    <row r="9" spans="3:11" ht="25.5" x14ac:dyDescent="0.25">
      <c r="C9" s="8" t="s">
        <v>42</v>
      </c>
      <c r="D9" s="9" t="s">
        <v>43</v>
      </c>
      <c r="E9" s="45" t="s">
        <v>154</v>
      </c>
      <c r="F9" s="156">
        <v>2025</v>
      </c>
      <c r="H9" s="8" t="s">
        <v>42</v>
      </c>
      <c r="I9" s="9" t="s">
        <v>43</v>
      </c>
      <c r="J9" s="45" t="s">
        <v>154</v>
      </c>
      <c r="K9" s="46">
        <v>2025</v>
      </c>
    </row>
    <row r="10" spans="3:11" x14ac:dyDescent="0.25">
      <c r="C10" s="6" t="s">
        <v>44</v>
      </c>
      <c r="D10" s="7" t="s">
        <v>45</v>
      </c>
      <c r="E10" s="172" t="s">
        <v>46</v>
      </c>
      <c r="F10" s="173"/>
      <c r="H10" s="6" t="s">
        <v>44</v>
      </c>
      <c r="I10" s="7" t="s">
        <v>45</v>
      </c>
      <c r="J10" s="172" t="s">
        <v>46</v>
      </c>
      <c r="K10" s="173"/>
    </row>
    <row r="11" spans="3:11" x14ac:dyDescent="0.25">
      <c r="C11" s="6" t="s">
        <v>47</v>
      </c>
      <c r="D11" s="7" t="s">
        <v>48</v>
      </c>
      <c r="E11" s="172" t="s">
        <v>49</v>
      </c>
      <c r="F11" s="173"/>
      <c r="H11" s="6" t="s">
        <v>47</v>
      </c>
      <c r="I11" s="7" t="s">
        <v>48</v>
      </c>
      <c r="J11" s="172" t="s">
        <v>49</v>
      </c>
      <c r="K11" s="173"/>
    </row>
    <row r="12" spans="3:11" x14ac:dyDescent="0.25">
      <c r="C12" s="6" t="s">
        <v>50</v>
      </c>
      <c r="D12" s="7" t="s">
        <v>51</v>
      </c>
      <c r="E12" s="174">
        <v>220</v>
      </c>
      <c r="F12" s="175"/>
      <c r="H12" s="6" t="s">
        <v>50</v>
      </c>
      <c r="I12" s="7" t="s">
        <v>51</v>
      </c>
      <c r="J12" s="174">
        <v>220</v>
      </c>
      <c r="K12" s="175"/>
    </row>
    <row r="13" spans="3:11" x14ac:dyDescent="0.25">
      <c r="C13" s="6" t="s">
        <v>52</v>
      </c>
      <c r="D13" s="7" t="s">
        <v>53</v>
      </c>
      <c r="E13" s="172">
        <v>12</v>
      </c>
      <c r="F13" s="173"/>
      <c r="H13" s="6" t="s">
        <v>52</v>
      </c>
      <c r="I13" s="7" t="s">
        <v>53</v>
      </c>
      <c r="J13" s="172">
        <v>12</v>
      </c>
      <c r="K13" s="173"/>
    </row>
    <row r="14" spans="3:11" x14ac:dyDescent="0.25">
      <c r="C14" s="179" t="s">
        <v>195</v>
      </c>
      <c r="D14" s="179"/>
      <c r="E14" s="179"/>
      <c r="F14" s="179"/>
      <c r="H14" s="179" t="s">
        <v>195</v>
      </c>
      <c r="I14" s="179"/>
      <c r="J14" s="179"/>
      <c r="K14" s="179"/>
    </row>
    <row r="15" spans="3:11" x14ac:dyDescent="0.25">
      <c r="C15" s="180" t="s">
        <v>54</v>
      </c>
      <c r="D15" s="181"/>
      <c r="E15" s="181"/>
      <c r="F15" s="182"/>
      <c r="H15" s="180" t="s">
        <v>54</v>
      </c>
      <c r="I15" s="181"/>
      <c r="J15" s="181"/>
      <c r="K15" s="182"/>
    </row>
    <row r="16" spans="3:11" x14ac:dyDescent="0.25">
      <c r="C16" s="176" t="s">
        <v>55</v>
      </c>
      <c r="D16" s="176"/>
      <c r="E16" s="176"/>
      <c r="F16" s="176"/>
      <c r="H16" s="176" t="s">
        <v>55</v>
      </c>
      <c r="I16" s="176"/>
      <c r="J16" s="176"/>
      <c r="K16" s="176"/>
    </row>
    <row r="17" spans="3:13" x14ac:dyDescent="0.25">
      <c r="C17" s="6">
        <v>1</v>
      </c>
      <c r="D17" s="7" t="s">
        <v>56</v>
      </c>
      <c r="E17" s="172" t="s">
        <v>157</v>
      </c>
      <c r="F17" s="173" t="s">
        <v>57</v>
      </c>
      <c r="H17" s="6">
        <v>1</v>
      </c>
      <c r="I17" s="7" t="s">
        <v>56</v>
      </c>
      <c r="J17" s="172" t="s">
        <v>157</v>
      </c>
      <c r="K17" s="173" t="s">
        <v>57</v>
      </c>
    </row>
    <row r="18" spans="3:13" x14ac:dyDescent="0.25">
      <c r="C18" s="6"/>
      <c r="D18" s="10" t="s">
        <v>194</v>
      </c>
      <c r="E18" s="172">
        <v>220</v>
      </c>
      <c r="F18" s="173">
        <v>1</v>
      </c>
      <c r="H18" s="6"/>
      <c r="I18" s="10" t="s">
        <v>194</v>
      </c>
      <c r="J18" s="172">
        <v>220</v>
      </c>
      <c r="K18" s="173">
        <v>1</v>
      </c>
    </row>
    <row r="19" spans="3:13" ht="39" customHeight="1" x14ac:dyDescent="0.25">
      <c r="C19" s="6">
        <v>2</v>
      </c>
      <c r="D19" s="11" t="s">
        <v>58</v>
      </c>
      <c r="E19" s="177" t="s">
        <v>196</v>
      </c>
      <c r="F19" s="178"/>
      <c r="H19" s="6">
        <v>2</v>
      </c>
      <c r="I19" s="11" t="s">
        <v>58</v>
      </c>
      <c r="J19" s="177" t="s">
        <v>196</v>
      </c>
      <c r="K19" s="178"/>
    </row>
    <row r="20" spans="3:13" x14ac:dyDescent="0.25">
      <c r="C20" s="176" t="s">
        <v>59</v>
      </c>
      <c r="D20" s="176"/>
      <c r="E20" s="176"/>
      <c r="F20" s="176"/>
      <c r="H20" s="176" t="s">
        <v>59</v>
      </c>
      <c r="I20" s="176"/>
      <c r="J20" s="176"/>
      <c r="K20" s="176"/>
    </row>
    <row r="21" spans="3:13" x14ac:dyDescent="0.25">
      <c r="C21" s="6">
        <v>3</v>
      </c>
      <c r="D21" s="187" t="s">
        <v>1143</v>
      </c>
      <c r="E21" s="188"/>
      <c r="F21" s="31">
        <v>3790.67</v>
      </c>
      <c r="H21" s="6">
        <v>3</v>
      </c>
      <c r="I21" s="183" t="s">
        <v>1143</v>
      </c>
      <c r="J21" s="184"/>
      <c r="K21" s="31">
        <v>3790.67</v>
      </c>
      <c r="M21" s="152">
        <f>(K21/12)</f>
        <v>315.88916666666665</v>
      </c>
    </row>
    <row r="22" spans="3:13" x14ac:dyDescent="0.25">
      <c r="C22" s="6">
        <v>4</v>
      </c>
      <c r="D22" s="183" t="s">
        <v>61</v>
      </c>
      <c r="E22" s="184"/>
      <c r="F22" s="32" t="s">
        <v>154</v>
      </c>
      <c r="H22" s="6">
        <v>4</v>
      </c>
      <c r="I22" s="183" t="s">
        <v>61</v>
      </c>
      <c r="J22" s="184"/>
      <c r="K22" s="32" t="s">
        <v>154</v>
      </c>
      <c r="M22" s="152"/>
    </row>
    <row r="23" spans="3:13" x14ac:dyDescent="0.25">
      <c r="C23" s="6">
        <v>5</v>
      </c>
      <c r="D23" s="183" t="s">
        <v>62</v>
      </c>
      <c r="E23" s="184"/>
      <c r="F23" s="33">
        <v>45658</v>
      </c>
      <c r="H23" s="6">
        <v>5</v>
      </c>
      <c r="I23" s="183" t="s">
        <v>62</v>
      </c>
      <c r="J23" s="184"/>
      <c r="K23" s="33">
        <v>45658</v>
      </c>
    </row>
    <row r="24" spans="3:13" x14ac:dyDescent="0.25">
      <c r="C24" s="172"/>
      <c r="D24" s="185"/>
      <c r="E24" s="185"/>
      <c r="F24" s="173"/>
      <c r="H24" s="172"/>
      <c r="I24" s="185"/>
      <c r="J24" s="185"/>
      <c r="K24" s="173"/>
    </row>
    <row r="25" spans="3:13" x14ac:dyDescent="0.25">
      <c r="C25" s="186" t="s">
        <v>63</v>
      </c>
      <c r="D25" s="186"/>
      <c r="E25" s="186"/>
      <c r="F25" s="186"/>
      <c r="H25" s="186" t="s">
        <v>63</v>
      </c>
      <c r="I25" s="186"/>
      <c r="J25" s="186"/>
      <c r="K25" s="186"/>
    </row>
    <row r="26" spans="3:13" x14ac:dyDescent="0.25">
      <c r="C26" s="196"/>
      <c r="D26" s="197"/>
      <c r="E26" s="197"/>
      <c r="F26" s="198"/>
      <c r="H26" s="196"/>
      <c r="I26" s="197"/>
      <c r="J26" s="197"/>
      <c r="K26" s="198"/>
    </row>
    <row r="27" spans="3:13" x14ac:dyDescent="0.25">
      <c r="C27" s="12">
        <v>1</v>
      </c>
      <c r="D27" s="199" t="s">
        <v>64</v>
      </c>
      <c r="E27" s="200"/>
      <c r="F27" s="12" t="s">
        <v>65</v>
      </c>
      <c r="H27" s="12">
        <v>1</v>
      </c>
      <c r="I27" s="199" t="s">
        <v>64</v>
      </c>
      <c r="J27" s="200"/>
      <c r="K27" s="12" t="s">
        <v>65</v>
      </c>
    </row>
    <row r="28" spans="3:13" x14ac:dyDescent="0.25">
      <c r="C28" s="6" t="s">
        <v>66</v>
      </c>
      <c r="D28" s="7" t="s">
        <v>67</v>
      </c>
      <c r="E28" s="34">
        <v>1</v>
      </c>
      <c r="F28" s="47">
        <f>F21</f>
        <v>3790.67</v>
      </c>
      <c r="H28" s="6" t="s">
        <v>66</v>
      </c>
      <c r="I28" s="7" t="s">
        <v>67</v>
      </c>
      <c r="J28" s="34">
        <v>1</v>
      </c>
      <c r="K28" s="47">
        <f>K21</f>
        <v>3790.67</v>
      </c>
      <c r="M28" s="152"/>
    </row>
    <row r="29" spans="3:13" x14ac:dyDescent="0.25">
      <c r="C29" s="6" t="s">
        <v>39</v>
      </c>
      <c r="D29" s="7" t="s">
        <v>68</v>
      </c>
      <c r="E29" s="14">
        <v>0.3</v>
      </c>
      <c r="F29" s="15">
        <f>F28*E29</f>
        <v>1137.201</v>
      </c>
      <c r="H29" s="6" t="s">
        <v>39</v>
      </c>
      <c r="I29" s="7" t="s">
        <v>68</v>
      </c>
      <c r="J29" s="14">
        <v>0.3</v>
      </c>
      <c r="K29" s="15">
        <f>K28*J29</f>
        <v>1137.201</v>
      </c>
    </row>
    <row r="30" spans="3:13" x14ac:dyDescent="0.25">
      <c r="C30" s="6" t="s">
        <v>42</v>
      </c>
      <c r="D30" s="7" t="s">
        <v>69</v>
      </c>
      <c r="E30" s="14">
        <v>0</v>
      </c>
      <c r="F30" s="16">
        <v>0</v>
      </c>
      <c r="H30" s="6" t="s">
        <v>42</v>
      </c>
      <c r="I30" s="7" t="s">
        <v>69</v>
      </c>
      <c r="J30" s="14">
        <v>0</v>
      </c>
      <c r="K30" s="16">
        <v>0</v>
      </c>
    </row>
    <row r="31" spans="3:13" x14ac:dyDescent="0.25">
      <c r="C31" s="6" t="s">
        <v>44</v>
      </c>
      <c r="D31" s="7" t="s">
        <v>70</v>
      </c>
      <c r="E31" s="14">
        <v>0</v>
      </c>
      <c r="F31" s="16">
        <v>0</v>
      </c>
      <c r="H31" s="6" t="s">
        <v>44</v>
      </c>
      <c r="I31" s="7" t="s">
        <v>70</v>
      </c>
      <c r="J31" s="14">
        <v>0</v>
      </c>
      <c r="K31" s="16">
        <v>0</v>
      </c>
    </row>
    <row r="32" spans="3:13" x14ac:dyDescent="0.25">
      <c r="C32" s="6" t="s">
        <v>47</v>
      </c>
      <c r="D32" s="7" t="s">
        <v>71</v>
      </c>
      <c r="E32" s="14">
        <v>0</v>
      </c>
      <c r="F32" s="16">
        <v>0</v>
      </c>
      <c r="H32" s="6" t="s">
        <v>47</v>
      </c>
      <c r="I32" s="7" t="s">
        <v>71</v>
      </c>
      <c r="J32" s="14">
        <v>0</v>
      </c>
      <c r="K32" s="16">
        <v>0</v>
      </c>
    </row>
    <row r="33" spans="3:11" x14ac:dyDescent="0.25">
      <c r="C33" s="6" t="s">
        <v>50</v>
      </c>
      <c r="D33" s="155" t="s">
        <v>1144</v>
      </c>
      <c r="E33" s="34">
        <v>1</v>
      </c>
      <c r="F33" s="53">
        <v>73.989999999999995</v>
      </c>
      <c r="H33" s="6" t="s">
        <v>50</v>
      </c>
      <c r="I33" s="7" t="s">
        <v>1144</v>
      </c>
      <c r="J33" s="34">
        <v>1</v>
      </c>
      <c r="K33" s="53">
        <v>73.989999999999995</v>
      </c>
    </row>
    <row r="34" spans="3:11" x14ac:dyDescent="0.25">
      <c r="C34" s="6" t="s">
        <v>52</v>
      </c>
      <c r="D34" s="7" t="s">
        <v>72</v>
      </c>
      <c r="E34" s="14">
        <v>0</v>
      </c>
      <c r="F34" s="16">
        <v>0</v>
      </c>
      <c r="H34" s="6" t="s">
        <v>52</v>
      </c>
      <c r="I34" s="7" t="s">
        <v>72</v>
      </c>
      <c r="J34" s="14">
        <v>0</v>
      </c>
      <c r="K34" s="16">
        <v>0</v>
      </c>
    </row>
    <row r="35" spans="3:11" x14ac:dyDescent="0.25">
      <c r="C35" s="199" t="s">
        <v>73</v>
      </c>
      <c r="D35" s="201"/>
      <c r="E35" s="200"/>
      <c r="F35" s="17">
        <f>SUM(F28:F34)</f>
        <v>5001.8609999999999</v>
      </c>
      <c r="H35" s="199" t="s">
        <v>73</v>
      </c>
      <c r="I35" s="201"/>
      <c r="J35" s="200"/>
      <c r="K35" s="17">
        <f>SUM(K28:K34)</f>
        <v>5001.8609999999999</v>
      </c>
    </row>
    <row r="36" spans="3:11" x14ac:dyDescent="0.25">
      <c r="C36" s="189"/>
      <c r="D36" s="189"/>
      <c r="E36" s="189"/>
      <c r="F36" s="189"/>
      <c r="H36" s="189"/>
      <c r="I36" s="189"/>
      <c r="J36" s="189"/>
      <c r="K36" s="189"/>
    </row>
    <row r="37" spans="3:11" x14ac:dyDescent="0.25">
      <c r="C37" s="190" t="s">
        <v>74</v>
      </c>
      <c r="D37" s="191"/>
      <c r="E37" s="191"/>
      <c r="F37" s="192"/>
      <c r="H37" s="190" t="s">
        <v>74</v>
      </c>
      <c r="I37" s="191"/>
      <c r="J37" s="191"/>
      <c r="K37" s="192"/>
    </row>
    <row r="38" spans="3:11" x14ac:dyDescent="0.25">
      <c r="C38" s="193"/>
      <c r="D38" s="194"/>
      <c r="E38" s="194"/>
      <c r="F38" s="195"/>
      <c r="H38" s="193"/>
      <c r="I38" s="194"/>
      <c r="J38" s="194"/>
      <c r="K38" s="195"/>
    </row>
    <row r="39" spans="3:11" x14ac:dyDescent="0.25">
      <c r="C39" s="18" t="s">
        <v>75</v>
      </c>
      <c r="D39" s="19" t="s">
        <v>76</v>
      </c>
      <c r="E39" s="18" t="s">
        <v>77</v>
      </c>
      <c r="F39" s="18" t="s">
        <v>65</v>
      </c>
      <c r="H39" s="18" t="s">
        <v>75</v>
      </c>
      <c r="I39" s="19" t="s">
        <v>76</v>
      </c>
      <c r="J39" s="18" t="s">
        <v>77</v>
      </c>
      <c r="K39" s="18" t="s">
        <v>65</v>
      </c>
    </row>
    <row r="40" spans="3:11" x14ac:dyDescent="0.25">
      <c r="C40" s="20" t="s">
        <v>66</v>
      </c>
      <c r="D40" s="21" t="s">
        <v>78</v>
      </c>
      <c r="E40" s="44">
        <f>1/12</f>
        <v>8.3333333333333329E-2</v>
      </c>
      <c r="F40" s="20">
        <f>F35*E40</f>
        <v>416.82174999999995</v>
      </c>
      <c r="H40" s="20" t="s">
        <v>66</v>
      </c>
      <c r="I40" s="21" t="s">
        <v>78</v>
      </c>
      <c r="J40" s="44">
        <f>1/12</f>
        <v>8.3333333333333329E-2</v>
      </c>
      <c r="K40" s="20">
        <f>K35*J40</f>
        <v>416.82174999999995</v>
      </c>
    </row>
    <row r="41" spans="3:11" x14ac:dyDescent="0.25">
      <c r="C41" s="20" t="s">
        <v>39</v>
      </c>
      <c r="D41" s="21" t="s">
        <v>79</v>
      </c>
      <c r="E41" s="28">
        <f>(1/12)+(1/(12*3))</f>
        <v>0.1111111111111111</v>
      </c>
      <c r="F41" s="20">
        <f>E41*F35</f>
        <v>555.76233333333334</v>
      </c>
      <c r="H41" s="20" t="s">
        <v>39</v>
      </c>
      <c r="I41" s="21" t="s">
        <v>79</v>
      </c>
      <c r="J41" s="28">
        <f>(1/12)+(1/(12*3))</f>
        <v>0.1111111111111111</v>
      </c>
      <c r="K41" s="20">
        <f>J41*K35</f>
        <v>555.76233333333334</v>
      </c>
    </row>
    <row r="42" spans="3:11" x14ac:dyDescent="0.25">
      <c r="C42" s="205" t="s">
        <v>80</v>
      </c>
      <c r="D42" s="206"/>
      <c r="E42" s="207"/>
      <c r="F42" s="22">
        <f>SUM(F40:F41)</f>
        <v>972.5840833333333</v>
      </c>
      <c r="H42" s="205" t="s">
        <v>80</v>
      </c>
      <c r="I42" s="206"/>
      <c r="J42" s="207"/>
      <c r="K42" s="22">
        <f>SUM(K40:K41)</f>
        <v>972.5840833333333</v>
      </c>
    </row>
    <row r="43" spans="3:11" x14ac:dyDescent="0.25">
      <c r="C43" s="193"/>
      <c r="D43" s="194"/>
      <c r="E43" s="194"/>
      <c r="F43" s="195"/>
      <c r="H43" s="193"/>
      <c r="I43" s="194"/>
      <c r="J43" s="194"/>
      <c r="K43" s="195"/>
    </row>
    <row r="44" spans="3:11" x14ac:dyDescent="0.25">
      <c r="C44" s="22" t="s">
        <v>81</v>
      </c>
      <c r="D44" s="23" t="s">
        <v>82</v>
      </c>
      <c r="E44" s="22" t="s">
        <v>77</v>
      </c>
      <c r="F44" s="22" t="s">
        <v>65</v>
      </c>
      <c r="H44" s="22" t="s">
        <v>81</v>
      </c>
      <c r="I44" s="23" t="s">
        <v>82</v>
      </c>
      <c r="J44" s="22" t="s">
        <v>77</v>
      </c>
      <c r="K44" s="22" t="s">
        <v>65</v>
      </c>
    </row>
    <row r="45" spans="3:11" x14ac:dyDescent="0.25">
      <c r="C45" s="24" t="s">
        <v>66</v>
      </c>
      <c r="D45" s="25" t="s">
        <v>83</v>
      </c>
      <c r="E45" s="35">
        <f>2/10</f>
        <v>0.2</v>
      </c>
      <c r="F45" s="20">
        <f>E45*($F$35+$F$42)</f>
        <v>1194.8890166666667</v>
      </c>
      <c r="H45" s="24" t="s">
        <v>66</v>
      </c>
      <c r="I45" s="25" t="s">
        <v>83</v>
      </c>
      <c r="J45" s="159">
        <v>0</v>
      </c>
      <c r="K45" s="158">
        <f>J45*($F$35+$F$42)</f>
        <v>0</v>
      </c>
    </row>
    <row r="46" spans="3:11" x14ac:dyDescent="0.25">
      <c r="C46" s="24" t="s">
        <v>39</v>
      </c>
      <c r="D46" s="25" t="s">
        <v>84</v>
      </c>
      <c r="E46" s="35">
        <f>2.5/100</f>
        <v>2.5000000000000001E-2</v>
      </c>
      <c r="F46" s="20">
        <f t="shared" ref="F46:F52" si="0">E46*($F$35+$F$42)</f>
        <v>149.36112708333334</v>
      </c>
      <c r="H46" s="24" t="s">
        <v>39</v>
      </c>
      <c r="I46" s="25" t="s">
        <v>84</v>
      </c>
      <c r="J46" s="35">
        <f>2.5/100</f>
        <v>2.5000000000000001E-2</v>
      </c>
      <c r="K46" s="20">
        <f t="shared" ref="K46:K52" si="1">J46*($F$35+$F$42)</f>
        <v>149.36112708333334</v>
      </c>
    </row>
    <row r="47" spans="3:11" x14ac:dyDescent="0.25">
      <c r="C47" s="24" t="s">
        <v>42</v>
      </c>
      <c r="D47" s="25" t="s">
        <v>85</v>
      </c>
      <c r="E47" s="35">
        <f>3/100</f>
        <v>0.03</v>
      </c>
      <c r="F47" s="20">
        <f t="shared" si="0"/>
        <v>179.2333525</v>
      </c>
      <c r="H47" s="24" t="s">
        <v>42</v>
      </c>
      <c r="I47" s="25" t="s">
        <v>85</v>
      </c>
      <c r="J47" s="35">
        <f>3/100</f>
        <v>0.03</v>
      </c>
      <c r="K47" s="20">
        <f t="shared" si="1"/>
        <v>179.2333525</v>
      </c>
    </row>
    <row r="48" spans="3:11" x14ac:dyDescent="0.25">
      <c r="C48" s="24" t="s">
        <v>44</v>
      </c>
      <c r="D48" s="25" t="s">
        <v>86</v>
      </c>
      <c r="E48" s="35">
        <f>1.5/100</f>
        <v>1.4999999999999999E-2</v>
      </c>
      <c r="F48" s="20">
        <f t="shared" si="0"/>
        <v>89.616676249999998</v>
      </c>
      <c r="H48" s="24" t="s">
        <v>44</v>
      </c>
      <c r="I48" s="25" t="s">
        <v>86</v>
      </c>
      <c r="J48" s="35">
        <f>1.5/100</f>
        <v>1.4999999999999999E-2</v>
      </c>
      <c r="K48" s="20">
        <f t="shared" si="1"/>
        <v>89.616676249999998</v>
      </c>
    </row>
    <row r="49" spans="3:12" x14ac:dyDescent="0.25">
      <c r="C49" s="24" t="s">
        <v>47</v>
      </c>
      <c r="D49" s="25" t="s">
        <v>87</v>
      </c>
      <c r="E49" s="35">
        <f>1/100</f>
        <v>0.01</v>
      </c>
      <c r="F49" s="20">
        <f t="shared" si="0"/>
        <v>59.744450833333332</v>
      </c>
      <c r="H49" s="24" t="s">
        <v>47</v>
      </c>
      <c r="I49" s="25" t="s">
        <v>87</v>
      </c>
      <c r="J49" s="35">
        <f>1/100</f>
        <v>0.01</v>
      </c>
      <c r="K49" s="20">
        <f t="shared" si="1"/>
        <v>59.744450833333332</v>
      </c>
    </row>
    <row r="50" spans="3:12" x14ac:dyDescent="0.25">
      <c r="C50" s="24" t="s">
        <v>50</v>
      </c>
      <c r="D50" s="25" t="s">
        <v>88</v>
      </c>
      <c r="E50" s="35">
        <f>0.6/100</f>
        <v>6.0000000000000001E-3</v>
      </c>
      <c r="F50" s="20">
        <f t="shared" si="0"/>
        <v>35.846670500000002</v>
      </c>
      <c r="H50" s="24" t="s">
        <v>50</v>
      </c>
      <c r="I50" s="25" t="s">
        <v>88</v>
      </c>
      <c r="J50" s="35">
        <f>0.6/100</f>
        <v>6.0000000000000001E-3</v>
      </c>
      <c r="K50" s="20">
        <f t="shared" si="1"/>
        <v>35.846670500000002</v>
      </c>
    </row>
    <row r="51" spans="3:12" x14ac:dyDescent="0.25">
      <c r="C51" s="24" t="s">
        <v>52</v>
      </c>
      <c r="D51" s="25" t="s">
        <v>89</v>
      </c>
      <c r="E51" s="35">
        <f>0.2/100</f>
        <v>2E-3</v>
      </c>
      <c r="F51" s="20">
        <f t="shared" si="0"/>
        <v>11.948890166666667</v>
      </c>
      <c r="H51" s="24" t="s">
        <v>52</v>
      </c>
      <c r="I51" s="25" t="s">
        <v>89</v>
      </c>
      <c r="J51" s="35">
        <f>0.2/100</f>
        <v>2E-3</v>
      </c>
      <c r="K51" s="20">
        <f t="shared" si="1"/>
        <v>11.948890166666667</v>
      </c>
    </row>
    <row r="52" spans="3:12" x14ac:dyDescent="0.25">
      <c r="C52" s="24" t="s">
        <v>90</v>
      </c>
      <c r="D52" s="25" t="s">
        <v>91</v>
      </c>
      <c r="E52" s="35">
        <f>8/100</f>
        <v>0.08</v>
      </c>
      <c r="F52" s="20">
        <f t="shared" si="0"/>
        <v>477.95560666666665</v>
      </c>
      <c r="H52" s="24" t="s">
        <v>90</v>
      </c>
      <c r="I52" s="25" t="s">
        <v>91</v>
      </c>
      <c r="J52" s="35">
        <f>8/100</f>
        <v>0.08</v>
      </c>
      <c r="K52" s="20">
        <f t="shared" si="1"/>
        <v>477.95560666666665</v>
      </c>
    </row>
    <row r="53" spans="3:12" x14ac:dyDescent="0.25">
      <c r="C53" s="202" t="s">
        <v>80</v>
      </c>
      <c r="D53" s="204"/>
      <c r="E53" s="36">
        <v>0.36800000000000005</v>
      </c>
      <c r="F53" s="22">
        <f>SUM(F45:F52)</f>
        <v>2198.5957906666663</v>
      </c>
      <c r="H53" s="202" t="s">
        <v>80</v>
      </c>
      <c r="I53" s="204"/>
      <c r="J53" s="36">
        <v>0.36800000000000005</v>
      </c>
      <c r="K53" s="22">
        <f>SUM(K45:K52)</f>
        <v>1003.7067739999999</v>
      </c>
    </row>
    <row r="54" spans="3:12" x14ac:dyDescent="0.25">
      <c r="C54" s="193"/>
      <c r="D54" s="194"/>
      <c r="E54" s="194"/>
      <c r="F54" s="195"/>
      <c r="H54" s="193"/>
      <c r="I54" s="194"/>
      <c r="J54" s="194"/>
      <c r="K54" s="195"/>
    </row>
    <row r="55" spans="3:12" x14ac:dyDescent="0.25">
      <c r="C55" s="22" t="s">
        <v>92</v>
      </c>
      <c r="D55" s="23" t="s">
        <v>93</v>
      </c>
      <c r="E55" s="22" t="s">
        <v>94</v>
      </c>
      <c r="F55" s="22" t="s">
        <v>65</v>
      </c>
      <c r="H55" s="22" t="s">
        <v>92</v>
      </c>
      <c r="I55" s="23" t="s">
        <v>93</v>
      </c>
      <c r="J55" s="22" t="s">
        <v>94</v>
      </c>
      <c r="K55" s="22" t="s">
        <v>65</v>
      </c>
    </row>
    <row r="56" spans="3:12" x14ac:dyDescent="0.25">
      <c r="C56" s="24" t="s">
        <v>66</v>
      </c>
      <c r="D56" s="25" t="s">
        <v>197</v>
      </c>
      <c r="E56" s="37">
        <v>4.95</v>
      </c>
      <c r="F56" s="158">
        <v>0</v>
      </c>
      <c r="H56" s="24" t="s">
        <v>66</v>
      </c>
      <c r="I56" s="25" t="s">
        <v>197</v>
      </c>
      <c r="J56" s="37">
        <v>4.95</v>
      </c>
      <c r="K56" s="38">
        <v>0</v>
      </c>
      <c r="L56" s="153" t="s">
        <v>1145</v>
      </c>
    </row>
    <row r="57" spans="3:12" x14ac:dyDescent="0.25">
      <c r="C57" s="24" t="s">
        <v>39</v>
      </c>
      <c r="D57" s="154" t="s">
        <v>1146</v>
      </c>
      <c r="E57" s="37">
        <v>23.76</v>
      </c>
      <c r="F57" s="38">
        <f>23.76*22*0.95</f>
        <v>496.584</v>
      </c>
      <c r="H57" s="24" t="s">
        <v>39</v>
      </c>
      <c r="I57" s="25" t="s">
        <v>1146</v>
      </c>
      <c r="J57" s="37">
        <v>23.76</v>
      </c>
      <c r="K57" s="38">
        <f>23.76*22*0.95</f>
        <v>496.584</v>
      </c>
    </row>
    <row r="58" spans="3:12" x14ac:dyDescent="0.25">
      <c r="C58" s="24" t="s">
        <v>42</v>
      </c>
      <c r="D58" s="154" t="s">
        <v>1147</v>
      </c>
      <c r="E58" s="37">
        <v>164.16</v>
      </c>
      <c r="F58" s="20">
        <f>E58*1</f>
        <v>164.16</v>
      </c>
      <c r="H58" s="24" t="s">
        <v>42</v>
      </c>
      <c r="I58" s="25" t="s">
        <v>1147</v>
      </c>
      <c r="J58" s="37">
        <v>164.16</v>
      </c>
      <c r="K58" s="20">
        <f>J58*1</f>
        <v>164.16</v>
      </c>
    </row>
    <row r="59" spans="3:12" x14ac:dyDescent="0.25">
      <c r="C59" s="24" t="s">
        <v>44</v>
      </c>
      <c r="D59" s="155" t="s">
        <v>1148</v>
      </c>
      <c r="E59" s="37">
        <v>59</v>
      </c>
      <c r="F59" s="20">
        <f>E59</f>
        <v>59</v>
      </c>
      <c r="H59" s="24" t="s">
        <v>44</v>
      </c>
      <c r="I59" s="7" t="s">
        <v>160</v>
      </c>
      <c r="J59" s="157">
        <v>59</v>
      </c>
      <c r="K59" s="20">
        <f>J59</f>
        <v>59</v>
      </c>
    </row>
    <row r="60" spans="3:12" x14ac:dyDescent="0.25">
      <c r="C60" s="24" t="s">
        <v>47</v>
      </c>
      <c r="D60" s="25" t="s">
        <v>97</v>
      </c>
      <c r="E60" s="37"/>
      <c r="F60" s="20">
        <v>0</v>
      </c>
      <c r="H60" s="24" t="s">
        <v>47</v>
      </c>
      <c r="I60" s="25" t="s">
        <v>97</v>
      </c>
      <c r="J60" s="37"/>
      <c r="K60" s="20">
        <v>0</v>
      </c>
    </row>
    <row r="61" spans="3:12" x14ac:dyDescent="0.25">
      <c r="C61" s="202" t="s">
        <v>98</v>
      </c>
      <c r="D61" s="203"/>
      <c r="E61" s="204"/>
      <c r="F61" s="22">
        <f>SUM(F56:F60)</f>
        <v>719.74400000000003</v>
      </c>
      <c r="H61" s="202" t="s">
        <v>98</v>
      </c>
      <c r="I61" s="203"/>
      <c r="J61" s="204"/>
      <c r="K61" s="22">
        <f>SUM(K56:K60)</f>
        <v>719.74400000000003</v>
      </c>
    </row>
    <row r="62" spans="3:12" x14ac:dyDescent="0.25">
      <c r="C62" s="193"/>
      <c r="D62" s="194"/>
      <c r="E62" s="194"/>
      <c r="F62" s="195"/>
      <c r="H62" s="193"/>
      <c r="I62" s="194"/>
      <c r="J62" s="194"/>
      <c r="K62" s="195"/>
    </row>
    <row r="63" spans="3:12" x14ac:dyDescent="0.25">
      <c r="C63" s="202" t="s">
        <v>99</v>
      </c>
      <c r="D63" s="203"/>
      <c r="E63" s="204"/>
      <c r="F63" s="22" t="s">
        <v>65</v>
      </c>
      <c r="H63" s="202" t="s">
        <v>99</v>
      </c>
      <c r="I63" s="203"/>
      <c r="J63" s="204"/>
      <c r="K63" s="22" t="s">
        <v>65</v>
      </c>
    </row>
    <row r="64" spans="3:12" x14ac:dyDescent="0.25">
      <c r="C64" s="24" t="s">
        <v>100</v>
      </c>
      <c r="D64" s="208" t="s">
        <v>76</v>
      </c>
      <c r="E64" s="209"/>
      <c r="F64" s="20">
        <f>F42</f>
        <v>972.5840833333333</v>
      </c>
      <c r="H64" s="24" t="s">
        <v>100</v>
      </c>
      <c r="I64" s="208" t="s">
        <v>76</v>
      </c>
      <c r="J64" s="209"/>
      <c r="K64" s="20">
        <f>K42</f>
        <v>972.5840833333333</v>
      </c>
    </row>
    <row r="65" spans="2:11" x14ac:dyDescent="0.25">
      <c r="C65" s="24" t="s">
        <v>81</v>
      </c>
      <c r="D65" s="208" t="s">
        <v>82</v>
      </c>
      <c r="E65" s="209"/>
      <c r="F65" s="20">
        <f>F53</f>
        <v>2198.5957906666663</v>
      </c>
      <c r="H65" s="24" t="s">
        <v>81</v>
      </c>
      <c r="I65" s="208" t="s">
        <v>82</v>
      </c>
      <c r="J65" s="209"/>
      <c r="K65" s="20">
        <f>K53</f>
        <v>1003.7067739999999</v>
      </c>
    </row>
    <row r="66" spans="2:11" x14ac:dyDescent="0.25">
      <c r="C66" s="24" t="s">
        <v>101</v>
      </c>
      <c r="D66" s="208" t="s">
        <v>93</v>
      </c>
      <c r="E66" s="209"/>
      <c r="F66" s="20">
        <f>F61</f>
        <v>719.74400000000003</v>
      </c>
      <c r="H66" s="24" t="s">
        <v>101</v>
      </c>
      <c r="I66" s="208" t="s">
        <v>93</v>
      </c>
      <c r="J66" s="209"/>
      <c r="K66" s="20">
        <f>K61</f>
        <v>719.74400000000003</v>
      </c>
    </row>
    <row r="67" spans="2:11" x14ac:dyDescent="0.25">
      <c r="C67" s="202" t="s">
        <v>80</v>
      </c>
      <c r="D67" s="203"/>
      <c r="E67" s="204"/>
      <c r="F67" s="22">
        <f>SUM(F64:F66)</f>
        <v>3890.9238739999996</v>
      </c>
      <c r="H67" s="202" t="s">
        <v>80</v>
      </c>
      <c r="I67" s="203"/>
      <c r="J67" s="204"/>
      <c r="K67" s="22">
        <f>SUM(K64:K66)</f>
        <v>2696.0348573333331</v>
      </c>
    </row>
    <row r="68" spans="2:11" x14ac:dyDescent="0.25">
      <c r="C68" s="193"/>
      <c r="D68" s="194"/>
      <c r="E68" s="194"/>
      <c r="F68" s="195"/>
      <c r="H68" s="193"/>
      <c r="I68" s="194"/>
      <c r="J68" s="194"/>
      <c r="K68" s="195"/>
    </row>
    <row r="69" spans="2:11" x14ac:dyDescent="0.25">
      <c r="C69" s="190" t="s">
        <v>102</v>
      </c>
      <c r="D69" s="191"/>
      <c r="E69" s="191"/>
      <c r="F69" s="192"/>
      <c r="H69" s="190" t="s">
        <v>102</v>
      </c>
      <c r="I69" s="191"/>
      <c r="J69" s="191"/>
      <c r="K69" s="192"/>
    </row>
    <row r="70" spans="2:11" x14ac:dyDescent="0.25">
      <c r="C70" s="193"/>
      <c r="D70" s="194"/>
      <c r="E70" s="194"/>
      <c r="F70" s="195"/>
      <c r="H70" s="193"/>
      <c r="I70" s="194"/>
      <c r="J70" s="194"/>
      <c r="K70" s="195"/>
    </row>
    <row r="71" spans="2:11" x14ac:dyDescent="0.25">
      <c r="C71" s="12">
        <v>3</v>
      </c>
      <c r="D71" s="23" t="s">
        <v>103</v>
      </c>
      <c r="E71" s="22" t="s">
        <v>77</v>
      </c>
      <c r="F71" s="22" t="s">
        <v>65</v>
      </c>
      <c r="H71" s="12">
        <v>3</v>
      </c>
      <c r="I71" s="23" t="s">
        <v>103</v>
      </c>
      <c r="J71" s="22" t="s">
        <v>77</v>
      </c>
      <c r="K71" s="22" t="s">
        <v>65</v>
      </c>
    </row>
    <row r="72" spans="2:11" x14ac:dyDescent="0.25">
      <c r="B72" s="129" t="s">
        <v>201</v>
      </c>
      <c r="C72" s="24" t="s">
        <v>66</v>
      </c>
      <c r="D72" s="25" t="s">
        <v>104</v>
      </c>
      <c r="E72" s="35">
        <f>0.42/100</f>
        <v>4.1999999999999997E-3</v>
      </c>
      <c r="F72" s="20">
        <f>E72*F35</f>
        <v>21.007816199999997</v>
      </c>
      <c r="H72" s="24" t="s">
        <v>66</v>
      </c>
      <c r="I72" s="25" t="s">
        <v>104</v>
      </c>
      <c r="J72" s="35">
        <f>0.42/100</f>
        <v>4.1999999999999997E-3</v>
      </c>
      <c r="K72" s="20">
        <f>J72*K35</f>
        <v>21.007816199999997</v>
      </c>
    </row>
    <row r="73" spans="2:11" x14ac:dyDescent="0.25">
      <c r="B73" s="129" t="s">
        <v>1085</v>
      </c>
      <c r="C73" s="24" t="s">
        <v>39</v>
      </c>
      <c r="D73" s="25" t="s">
        <v>105</v>
      </c>
      <c r="E73" s="35">
        <f>0.08*E72</f>
        <v>3.3599999999999998E-4</v>
      </c>
      <c r="F73" s="20">
        <f>E73*F35</f>
        <v>1.6806252959999999</v>
      </c>
      <c r="H73" s="24" t="s">
        <v>39</v>
      </c>
      <c r="I73" s="25" t="s">
        <v>105</v>
      </c>
      <c r="J73" s="35">
        <f>0.08*J72</f>
        <v>3.3599999999999998E-4</v>
      </c>
      <c r="K73" s="20">
        <f>J73*K35</f>
        <v>1.6806252959999999</v>
      </c>
    </row>
    <row r="74" spans="2:11" x14ac:dyDescent="0.25">
      <c r="B74" s="129" t="s">
        <v>202</v>
      </c>
      <c r="C74" s="24" t="s">
        <v>42</v>
      </c>
      <c r="D74" s="25" t="s">
        <v>106</v>
      </c>
      <c r="E74" s="35">
        <f>0.4*0.08*0.05</f>
        <v>1.6000000000000001E-3</v>
      </c>
      <c r="F74" s="20">
        <f>F35*E74</f>
        <v>8.0029775999999995</v>
      </c>
      <c r="H74" s="24" t="s">
        <v>42</v>
      </c>
      <c r="I74" s="25" t="s">
        <v>106</v>
      </c>
      <c r="J74" s="35">
        <f>0.4*0.08*0.05</f>
        <v>1.6000000000000001E-3</v>
      </c>
      <c r="K74" s="20">
        <f>K35*J74</f>
        <v>8.0029775999999995</v>
      </c>
    </row>
    <row r="75" spans="2:11" x14ac:dyDescent="0.25">
      <c r="B75" s="129" t="s">
        <v>203</v>
      </c>
      <c r="C75" s="24" t="s">
        <v>44</v>
      </c>
      <c r="D75" s="25" t="s">
        <v>198</v>
      </c>
      <c r="E75" s="35">
        <f>((7/30)/12)</f>
        <v>1.9444444444444445E-2</v>
      </c>
      <c r="F75" s="20">
        <f>E75*F35</f>
        <v>97.258408333333335</v>
      </c>
      <c r="H75" s="24" t="s">
        <v>44</v>
      </c>
      <c r="I75" s="25" t="s">
        <v>198</v>
      </c>
      <c r="J75" s="35">
        <f>((7/30)/12)</f>
        <v>1.9444444444444445E-2</v>
      </c>
      <c r="K75" s="20">
        <f>J75*K35</f>
        <v>97.258408333333335</v>
      </c>
    </row>
    <row r="76" spans="2:11" ht="25.5" x14ac:dyDescent="0.25">
      <c r="B76" s="129" t="s">
        <v>1087</v>
      </c>
      <c r="C76" s="24" t="s">
        <v>47</v>
      </c>
      <c r="D76" s="25" t="s">
        <v>108</v>
      </c>
      <c r="E76" s="35">
        <f>0.368*E75</f>
        <v>7.1555555555555556E-3</v>
      </c>
      <c r="F76" s="20">
        <f>F35*E76</f>
        <v>35.791094266666668</v>
      </c>
      <c r="H76" s="24" t="s">
        <v>47</v>
      </c>
      <c r="I76" s="25" t="s">
        <v>108</v>
      </c>
      <c r="J76" s="35">
        <f>0.368*J75</f>
        <v>7.1555555555555556E-3</v>
      </c>
      <c r="K76" s="20">
        <f>K35*J76</f>
        <v>35.791094266666668</v>
      </c>
    </row>
    <row r="77" spans="2:11" x14ac:dyDescent="0.25">
      <c r="B77" s="129" t="s">
        <v>204</v>
      </c>
      <c r="C77" s="24" t="s">
        <v>50</v>
      </c>
      <c r="D77" s="25" t="s">
        <v>109</v>
      </c>
      <c r="E77" s="35">
        <f>0.4*0.08*0.95</f>
        <v>3.04E-2</v>
      </c>
      <c r="F77" s="20">
        <f>F35*E77</f>
        <v>152.05657439999999</v>
      </c>
      <c r="H77" s="24" t="s">
        <v>50</v>
      </c>
      <c r="I77" s="25" t="s">
        <v>109</v>
      </c>
      <c r="J77" s="35">
        <f>0.4*0.08*0.95</f>
        <v>3.04E-2</v>
      </c>
      <c r="K77" s="20">
        <f>K35*J77</f>
        <v>152.05657439999999</v>
      </c>
    </row>
    <row r="78" spans="2:11" x14ac:dyDescent="0.25">
      <c r="C78" s="202" t="s">
        <v>110</v>
      </c>
      <c r="D78" s="203"/>
      <c r="E78" s="204"/>
      <c r="F78" s="22">
        <f>SUM(F72:F77)</f>
        <v>315.79749609600003</v>
      </c>
      <c r="H78" s="202" t="s">
        <v>110</v>
      </c>
      <c r="I78" s="203"/>
      <c r="J78" s="204"/>
      <c r="K78" s="22">
        <f>SUM(K72:K77)</f>
        <v>315.79749609600003</v>
      </c>
    </row>
    <row r="79" spans="2:11" x14ac:dyDescent="0.25">
      <c r="C79" s="193"/>
      <c r="D79" s="194"/>
      <c r="E79" s="194"/>
      <c r="F79" s="195"/>
      <c r="H79" s="193"/>
      <c r="I79" s="194"/>
      <c r="J79" s="194"/>
      <c r="K79" s="195"/>
    </row>
    <row r="80" spans="2:11" x14ac:dyDescent="0.25">
      <c r="C80" s="190" t="s">
        <v>111</v>
      </c>
      <c r="D80" s="191"/>
      <c r="E80" s="191"/>
      <c r="F80" s="192"/>
      <c r="H80" s="190" t="s">
        <v>111</v>
      </c>
      <c r="I80" s="191"/>
      <c r="J80" s="191"/>
      <c r="K80" s="192"/>
    </row>
    <row r="81" spans="3:11" x14ac:dyDescent="0.25">
      <c r="C81" s="210"/>
      <c r="D81" s="211"/>
      <c r="E81" s="211"/>
      <c r="F81" s="212"/>
      <c r="H81" s="210"/>
      <c r="I81" s="211"/>
      <c r="J81" s="211"/>
      <c r="K81" s="212"/>
    </row>
    <row r="82" spans="3:11" x14ac:dyDescent="0.25">
      <c r="C82" s="22" t="s">
        <v>112</v>
      </c>
      <c r="D82" s="23" t="s">
        <v>113</v>
      </c>
      <c r="E82" s="26" t="s">
        <v>77</v>
      </c>
      <c r="F82" s="22" t="s">
        <v>65</v>
      </c>
      <c r="H82" s="22" t="s">
        <v>112</v>
      </c>
      <c r="I82" s="23" t="s">
        <v>113</v>
      </c>
      <c r="J82" s="26" t="s">
        <v>77</v>
      </c>
      <c r="K82" s="22" t="s">
        <v>65</v>
      </c>
    </row>
    <row r="83" spans="3:11" x14ac:dyDescent="0.25">
      <c r="C83" s="24" t="s">
        <v>66</v>
      </c>
      <c r="D83" s="25" t="s">
        <v>114</v>
      </c>
      <c r="E83" s="35">
        <f>(((1+1/3)/12)/12)</f>
        <v>9.2592592592592587E-3</v>
      </c>
      <c r="F83" s="20">
        <f>($F$78+$F$67+$F$35)*E83</f>
        <v>85.264651574962954</v>
      </c>
      <c r="H83" s="24" t="s">
        <v>66</v>
      </c>
      <c r="I83" s="25" t="s">
        <v>114</v>
      </c>
      <c r="J83" s="35">
        <f>(((1+1/3)/12)/12)</f>
        <v>9.2592592592592587E-3</v>
      </c>
      <c r="K83" s="20">
        <f>($F$78+$F$67+$F$35)*J83</f>
        <v>85.264651574962954</v>
      </c>
    </row>
    <row r="84" spans="3:11" x14ac:dyDescent="0.25">
      <c r="C84" s="24" t="s">
        <v>39</v>
      </c>
      <c r="D84" s="25" t="s">
        <v>115</v>
      </c>
      <c r="E84" s="35">
        <f>((2/30)/12)</f>
        <v>5.5555555555555558E-3</v>
      </c>
      <c r="F84" s="20">
        <f t="shared" ref="F84:F88" si="2">($F$78+$F$67+$F$35)*E84</f>
        <v>51.158790944977774</v>
      </c>
      <c r="H84" s="24" t="s">
        <v>39</v>
      </c>
      <c r="I84" s="25" t="s">
        <v>115</v>
      </c>
      <c r="J84" s="35">
        <f>((2/30)/12)</f>
        <v>5.5555555555555558E-3</v>
      </c>
      <c r="K84" s="20">
        <f t="shared" ref="K84:K88" si="3">($F$78+$F$67+$F$35)*J84</f>
        <v>51.158790944977774</v>
      </c>
    </row>
    <row r="85" spans="3:11" x14ac:dyDescent="0.25">
      <c r="C85" s="24" t="s">
        <v>42</v>
      </c>
      <c r="D85" s="25" t="s">
        <v>116</v>
      </c>
      <c r="E85" s="52">
        <f>((5/30)/12)*0.015</f>
        <v>2.0833333333333332E-4</v>
      </c>
      <c r="F85" s="20">
        <f t="shared" si="2"/>
        <v>1.9184546604366663</v>
      </c>
      <c r="H85" s="24" t="s">
        <v>42</v>
      </c>
      <c r="I85" s="25" t="s">
        <v>116</v>
      </c>
      <c r="J85" s="52">
        <f>((5/30)/12)*0.015</f>
        <v>2.0833333333333332E-4</v>
      </c>
      <c r="K85" s="20">
        <f t="shared" si="3"/>
        <v>1.9184546604366663</v>
      </c>
    </row>
    <row r="86" spans="3:11" x14ac:dyDescent="0.25">
      <c r="C86" s="24" t="s">
        <v>44</v>
      </c>
      <c r="D86" s="25" t="s">
        <v>117</v>
      </c>
      <c r="E86" s="35">
        <f>(((15/30)/12)*0.08)</f>
        <v>3.3333333333333331E-3</v>
      </c>
      <c r="F86" s="20">
        <f t="shared" si="2"/>
        <v>30.695274566986662</v>
      </c>
      <c r="H86" s="24" t="s">
        <v>44</v>
      </c>
      <c r="I86" s="25" t="s">
        <v>117</v>
      </c>
      <c r="J86" s="35">
        <f>(((15/30)/12)*0.08)</f>
        <v>3.3333333333333331E-3</v>
      </c>
      <c r="K86" s="20">
        <f t="shared" si="3"/>
        <v>30.695274566986662</v>
      </c>
    </row>
    <row r="87" spans="3:11" x14ac:dyDescent="0.25">
      <c r="C87" s="24" t="s">
        <v>47</v>
      </c>
      <c r="D87" s="25" t="s">
        <v>118</v>
      </c>
      <c r="E87" s="52">
        <f>0.0144*0.1*0.4509*6/12</f>
        <v>3.2464800000000003E-4</v>
      </c>
      <c r="F87" s="20">
        <f t="shared" si="2"/>
        <v>2.9895478492869261</v>
      </c>
      <c r="H87" s="24" t="s">
        <v>47</v>
      </c>
      <c r="I87" s="25" t="s">
        <v>118</v>
      </c>
      <c r="J87" s="52">
        <f>0.0144*0.1*0.4509*6/12</f>
        <v>3.2464800000000003E-4</v>
      </c>
      <c r="K87" s="20">
        <f t="shared" si="3"/>
        <v>2.9895478492869261</v>
      </c>
    </row>
    <row r="88" spans="3:11" x14ac:dyDescent="0.25">
      <c r="C88" s="24" t="s">
        <v>50</v>
      </c>
      <c r="D88" s="25" t="s">
        <v>119</v>
      </c>
      <c r="E88" s="35">
        <v>0</v>
      </c>
      <c r="F88" s="20">
        <f t="shared" si="2"/>
        <v>0</v>
      </c>
      <c r="H88" s="24" t="s">
        <v>50</v>
      </c>
      <c r="I88" s="25" t="s">
        <v>119</v>
      </c>
      <c r="J88" s="35">
        <v>0</v>
      </c>
      <c r="K88" s="20">
        <f t="shared" si="3"/>
        <v>0</v>
      </c>
    </row>
    <row r="89" spans="3:11" x14ac:dyDescent="0.25">
      <c r="C89" s="202" t="s">
        <v>80</v>
      </c>
      <c r="D89" s="203"/>
      <c r="E89" s="204"/>
      <c r="F89" s="22">
        <f>SUM(F83:F88)</f>
        <v>172.02671959665099</v>
      </c>
      <c r="H89" s="202" t="s">
        <v>80</v>
      </c>
      <c r="I89" s="203"/>
      <c r="J89" s="204"/>
      <c r="K89" s="22">
        <f>SUM(K83:K88)</f>
        <v>172.02671959665099</v>
      </c>
    </row>
    <row r="90" spans="3:11" x14ac:dyDescent="0.25">
      <c r="C90" s="193"/>
      <c r="D90" s="194"/>
      <c r="E90" s="194"/>
      <c r="F90" s="195"/>
      <c r="H90" s="193"/>
      <c r="I90" s="194"/>
      <c r="J90" s="194"/>
      <c r="K90" s="195"/>
    </row>
    <row r="91" spans="3:11" x14ac:dyDescent="0.25">
      <c r="C91" s="27" t="s">
        <v>120</v>
      </c>
      <c r="D91" s="27" t="s">
        <v>121</v>
      </c>
      <c r="E91" s="26" t="s">
        <v>77</v>
      </c>
      <c r="F91" s="22" t="s">
        <v>65</v>
      </c>
      <c r="H91" s="27" t="s">
        <v>120</v>
      </c>
      <c r="I91" s="27" t="s">
        <v>121</v>
      </c>
      <c r="J91" s="26" t="s">
        <v>77</v>
      </c>
      <c r="K91" s="22" t="s">
        <v>65</v>
      </c>
    </row>
    <row r="92" spans="3:11" x14ac:dyDescent="0.25">
      <c r="C92" s="20" t="s">
        <v>66</v>
      </c>
      <c r="D92" s="21" t="s">
        <v>122</v>
      </c>
      <c r="E92" s="28">
        <v>0</v>
      </c>
      <c r="F92" s="20">
        <v>0</v>
      </c>
      <c r="H92" s="20" t="s">
        <v>66</v>
      </c>
      <c r="I92" s="21" t="s">
        <v>122</v>
      </c>
      <c r="J92" s="28">
        <v>0</v>
      </c>
      <c r="K92" s="20">
        <v>0</v>
      </c>
    </row>
    <row r="93" spans="3:11" x14ac:dyDescent="0.25">
      <c r="C93" s="202" t="s">
        <v>80</v>
      </c>
      <c r="D93" s="204"/>
      <c r="E93" s="39">
        <v>0</v>
      </c>
      <c r="F93" s="22">
        <v>0</v>
      </c>
      <c r="H93" s="202" t="s">
        <v>80</v>
      </c>
      <c r="I93" s="204"/>
      <c r="J93" s="39">
        <v>0</v>
      </c>
      <c r="K93" s="22">
        <v>0</v>
      </c>
    </row>
    <row r="94" spans="3:11" x14ac:dyDescent="0.25">
      <c r="C94" s="193"/>
      <c r="D94" s="194"/>
      <c r="E94" s="194"/>
      <c r="F94" s="195"/>
      <c r="H94" s="193"/>
      <c r="I94" s="194"/>
      <c r="J94" s="194"/>
      <c r="K94" s="195"/>
    </row>
    <row r="95" spans="3:11" x14ac:dyDescent="0.25">
      <c r="C95" s="202" t="s">
        <v>123</v>
      </c>
      <c r="D95" s="203"/>
      <c r="E95" s="204"/>
      <c r="F95" s="22" t="s">
        <v>65</v>
      </c>
      <c r="H95" s="202" t="s">
        <v>123</v>
      </c>
      <c r="I95" s="203"/>
      <c r="J95" s="204"/>
      <c r="K95" s="22" t="s">
        <v>65</v>
      </c>
    </row>
    <row r="96" spans="3:11" x14ac:dyDescent="0.25">
      <c r="C96" s="20" t="s">
        <v>112</v>
      </c>
      <c r="D96" s="213" t="s">
        <v>113</v>
      </c>
      <c r="E96" s="214"/>
      <c r="F96" s="20">
        <f>F89</f>
        <v>172.02671959665099</v>
      </c>
      <c r="H96" s="20" t="s">
        <v>112</v>
      </c>
      <c r="I96" s="213" t="s">
        <v>113</v>
      </c>
      <c r="J96" s="214"/>
      <c r="K96" s="20">
        <f>K89</f>
        <v>172.02671959665099</v>
      </c>
    </row>
    <row r="97" spans="3:11" x14ac:dyDescent="0.25">
      <c r="C97" s="20" t="s">
        <v>120</v>
      </c>
      <c r="D97" s="213" t="s">
        <v>121</v>
      </c>
      <c r="E97" s="214"/>
      <c r="F97" s="20">
        <v>0</v>
      </c>
      <c r="H97" s="20" t="s">
        <v>120</v>
      </c>
      <c r="I97" s="213" t="s">
        <v>121</v>
      </c>
      <c r="J97" s="214"/>
      <c r="K97" s="20">
        <v>0</v>
      </c>
    </row>
    <row r="98" spans="3:11" x14ac:dyDescent="0.25">
      <c r="C98" s="202" t="s">
        <v>124</v>
      </c>
      <c r="D98" s="203"/>
      <c r="E98" s="204"/>
      <c r="F98" s="22">
        <f>SUM(F96:F97)</f>
        <v>172.02671959665099</v>
      </c>
      <c r="H98" s="202" t="s">
        <v>124</v>
      </c>
      <c r="I98" s="203"/>
      <c r="J98" s="204"/>
      <c r="K98" s="22">
        <f>SUM(K96:K97)</f>
        <v>172.02671959665099</v>
      </c>
    </row>
    <row r="99" spans="3:11" x14ac:dyDescent="0.25">
      <c r="C99" s="193"/>
      <c r="D99" s="194"/>
      <c r="E99" s="194"/>
      <c r="F99" s="195"/>
      <c r="H99" s="193"/>
      <c r="I99" s="194"/>
      <c r="J99" s="194"/>
      <c r="K99" s="195"/>
    </row>
    <row r="100" spans="3:11" x14ac:dyDescent="0.25">
      <c r="C100" s="190" t="s">
        <v>125</v>
      </c>
      <c r="D100" s="191"/>
      <c r="E100" s="191"/>
      <c r="F100" s="192"/>
      <c r="H100" s="190" t="s">
        <v>125</v>
      </c>
      <c r="I100" s="191"/>
      <c r="J100" s="191"/>
      <c r="K100" s="192"/>
    </row>
    <row r="101" spans="3:11" x14ac:dyDescent="0.25">
      <c r="C101" s="210"/>
      <c r="D101" s="211"/>
      <c r="E101" s="211"/>
      <c r="F101" s="212"/>
      <c r="H101" s="210"/>
      <c r="I101" s="211"/>
      <c r="J101" s="211"/>
      <c r="K101" s="212"/>
    </row>
    <row r="102" spans="3:11" x14ac:dyDescent="0.25">
      <c r="C102" s="12">
        <v>5</v>
      </c>
      <c r="D102" s="202" t="s">
        <v>126</v>
      </c>
      <c r="E102" s="204"/>
      <c r="F102" s="22" t="s">
        <v>65</v>
      </c>
      <c r="H102" s="12">
        <v>5</v>
      </c>
      <c r="I102" s="202" t="s">
        <v>126</v>
      </c>
      <c r="J102" s="204"/>
      <c r="K102" s="22" t="s">
        <v>65</v>
      </c>
    </row>
    <row r="103" spans="3:11" x14ac:dyDescent="0.25">
      <c r="C103" s="24" t="s">
        <v>66</v>
      </c>
      <c r="D103" s="216" t="s">
        <v>127</v>
      </c>
      <c r="E103" s="217"/>
      <c r="F103" s="20">
        <f>UNIFORMES!E9</f>
        <v>75.355555555555569</v>
      </c>
      <c r="H103" s="24" t="s">
        <v>66</v>
      </c>
      <c r="I103" s="216" t="s">
        <v>127</v>
      </c>
      <c r="J103" s="217"/>
      <c r="K103" s="118">
        <f>UNIFORMES!E9</f>
        <v>75.355555555555569</v>
      </c>
    </row>
    <row r="104" spans="3:11" x14ac:dyDescent="0.25">
      <c r="C104" s="24" t="s">
        <v>39</v>
      </c>
      <c r="D104" s="29" t="s">
        <v>128</v>
      </c>
      <c r="E104" s="30"/>
      <c r="F104" s="20">
        <v>0</v>
      </c>
      <c r="H104" s="24" t="s">
        <v>39</v>
      </c>
      <c r="I104" s="29" t="s">
        <v>128</v>
      </c>
      <c r="J104" s="30"/>
      <c r="K104" s="20">
        <v>0</v>
      </c>
    </row>
    <row r="105" spans="3:11" x14ac:dyDescent="0.25">
      <c r="C105" s="24" t="s">
        <v>42</v>
      </c>
      <c r="D105" s="216" t="s">
        <v>129</v>
      </c>
      <c r="E105" s="217"/>
      <c r="F105" s="118">
        <f>'Ferramentas de Uso Geral'!E60</f>
        <v>39.018233333333328</v>
      </c>
      <c r="H105" s="24" t="s">
        <v>42</v>
      </c>
      <c r="I105" s="216" t="s">
        <v>129</v>
      </c>
      <c r="J105" s="217"/>
      <c r="K105" s="118">
        <f>'Ferramentas de Uso Geral'!E60</f>
        <v>39.018233333333328</v>
      </c>
    </row>
    <row r="106" spans="3:11" x14ac:dyDescent="0.25">
      <c r="C106" s="24" t="s">
        <v>44</v>
      </c>
      <c r="D106" s="216" t="s">
        <v>130</v>
      </c>
      <c r="E106" s="217"/>
      <c r="F106" s="20">
        <v>0</v>
      </c>
      <c r="H106" s="24" t="s">
        <v>44</v>
      </c>
      <c r="I106" s="216" t="s">
        <v>130</v>
      </c>
      <c r="J106" s="217"/>
      <c r="K106" s="20">
        <v>0</v>
      </c>
    </row>
    <row r="107" spans="3:11" x14ac:dyDescent="0.25">
      <c r="C107" s="202" t="s">
        <v>131</v>
      </c>
      <c r="D107" s="203"/>
      <c r="E107" s="204"/>
      <c r="F107" s="22">
        <f>SUM(F103:F106)</f>
        <v>114.3737888888889</v>
      </c>
      <c r="H107" s="202" t="s">
        <v>131</v>
      </c>
      <c r="I107" s="203"/>
      <c r="J107" s="204"/>
      <c r="K107" s="22">
        <f>SUM(K103:K106)</f>
        <v>114.3737888888889</v>
      </c>
    </row>
    <row r="108" spans="3:11" x14ac:dyDescent="0.25">
      <c r="C108" s="193"/>
      <c r="D108" s="194"/>
      <c r="E108" s="194"/>
      <c r="F108" s="195"/>
      <c r="H108" s="193"/>
      <c r="I108" s="194"/>
      <c r="J108" s="194"/>
      <c r="K108" s="195"/>
    </row>
    <row r="109" spans="3:11" x14ac:dyDescent="0.25">
      <c r="C109" s="215" t="s">
        <v>132</v>
      </c>
      <c r="D109" s="215"/>
      <c r="E109" s="215"/>
      <c r="F109" s="41">
        <f>F107+F98+F78+F35+F67</f>
        <v>9494.9828785815389</v>
      </c>
      <c r="H109" s="215" t="s">
        <v>132</v>
      </c>
      <c r="I109" s="215"/>
      <c r="J109" s="215"/>
      <c r="K109" s="41">
        <f>K107+K98+K78+K35+K67</f>
        <v>8300.0938619148728</v>
      </c>
    </row>
    <row r="110" spans="3:11" x14ac:dyDescent="0.25">
      <c r="C110" s="189"/>
      <c r="D110" s="189"/>
      <c r="E110" s="189"/>
      <c r="F110" s="189"/>
      <c r="H110" s="189"/>
      <c r="I110" s="189"/>
      <c r="J110" s="189"/>
      <c r="K110" s="189"/>
    </row>
    <row r="111" spans="3:11" x14ac:dyDescent="0.25">
      <c r="C111" s="228" t="s">
        <v>133</v>
      </c>
      <c r="D111" s="228"/>
      <c r="E111" s="228"/>
      <c r="F111" s="228"/>
      <c r="H111" s="228" t="s">
        <v>133</v>
      </c>
      <c r="I111" s="228"/>
      <c r="J111" s="228"/>
      <c r="K111" s="228"/>
    </row>
    <row r="112" spans="3:11" x14ac:dyDescent="0.25">
      <c r="C112" s="193"/>
      <c r="D112" s="194"/>
      <c r="E112" s="194"/>
      <c r="F112" s="195"/>
      <c r="H112" s="193"/>
      <c r="I112" s="194"/>
      <c r="J112" s="194"/>
      <c r="K112" s="195"/>
    </row>
    <row r="113" spans="3:11" x14ac:dyDescent="0.25">
      <c r="C113" s="12">
        <v>6</v>
      </c>
      <c r="D113" s="40" t="s">
        <v>134</v>
      </c>
      <c r="E113" s="22" t="s">
        <v>77</v>
      </c>
      <c r="F113" s="22" t="s">
        <v>65</v>
      </c>
      <c r="H113" s="12">
        <v>6</v>
      </c>
      <c r="I113" s="40" t="s">
        <v>134</v>
      </c>
      <c r="J113" s="22" t="s">
        <v>77</v>
      </c>
      <c r="K113" s="22" t="s">
        <v>65</v>
      </c>
    </row>
    <row r="114" spans="3:11" x14ac:dyDescent="0.25">
      <c r="C114" s="24" t="s">
        <v>66</v>
      </c>
      <c r="D114" s="25" t="s">
        <v>135</v>
      </c>
      <c r="E114" s="35">
        <f>6.06/100</f>
        <v>6.0599999999999994E-2</v>
      </c>
      <c r="F114" s="20">
        <f>E114*F109</f>
        <v>575.3959624420412</v>
      </c>
      <c r="H114" s="24" t="s">
        <v>66</v>
      </c>
      <c r="I114" s="25" t="s">
        <v>135</v>
      </c>
      <c r="J114" s="35">
        <f>6.06/100</f>
        <v>6.0599999999999994E-2</v>
      </c>
      <c r="K114" s="20">
        <f>J114*K109</f>
        <v>502.98568803204125</v>
      </c>
    </row>
    <row r="115" spans="3:11" x14ac:dyDescent="0.25">
      <c r="C115" s="24" t="s">
        <v>39</v>
      </c>
      <c r="D115" s="25" t="s">
        <v>136</v>
      </c>
      <c r="E115" s="35">
        <f>7.4/100</f>
        <v>7.400000000000001E-2</v>
      </c>
      <c r="F115" s="20">
        <f>E115*(F109+F114)</f>
        <v>745.208034235745</v>
      </c>
      <c r="H115" s="24" t="s">
        <v>39</v>
      </c>
      <c r="I115" s="25" t="s">
        <v>136</v>
      </c>
      <c r="J115" s="35">
        <f>7.4/100</f>
        <v>7.400000000000001E-2</v>
      </c>
      <c r="K115" s="20">
        <f>J115*(K109+K114)</f>
        <v>651.42788669607171</v>
      </c>
    </row>
    <row r="116" spans="3:11" x14ac:dyDescent="0.25">
      <c r="C116" s="24" t="s">
        <v>42</v>
      </c>
      <c r="D116" s="208" t="s">
        <v>137</v>
      </c>
      <c r="E116" s="218"/>
      <c r="F116" s="209"/>
      <c r="H116" s="24" t="s">
        <v>42</v>
      </c>
      <c r="I116" s="208" t="s">
        <v>137</v>
      </c>
      <c r="J116" s="218"/>
      <c r="K116" s="209"/>
    </row>
    <row r="117" spans="3:11" x14ac:dyDescent="0.25">
      <c r="C117" s="24" t="s">
        <v>138</v>
      </c>
      <c r="D117" s="7" t="s">
        <v>205</v>
      </c>
      <c r="E117" s="219">
        <v>8.6499999999999994E-2</v>
      </c>
      <c r="F117" s="222">
        <f>((F114+F109+F115)/(1-E117))-(F109+F115+F114)</f>
        <v>1024.1360314284975</v>
      </c>
      <c r="H117" s="24" t="s">
        <v>138</v>
      </c>
      <c r="I117" s="7" t="s">
        <v>205</v>
      </c>
      <c r="J117" s="219">
        <v>8.6499999999999994E-2</v>
      </c>
      <c r="K117" s="222">
        <f>((K114+K109+K115)/(1-J117))-(K109+K115+K114)</f>
        <v>895.25439876257951</v>
      </c>
    </row>
    <row r="118" spans="3:11" x14ac:dyDescent="0.25">
      <c r="C118" s="24" t="s">
        <v>139</v>
      </c>
      <c r="D118" s="7" t="s">
        <v>206</v>
      </c>
      <c r="E118" s="220"/>
      <c r="F118" s="223"/>
      <c r="H118" s="24" t="s">
        <v>139</v>
      </c>
      <c r="I118" s="7" t="s">
        <v>206</v>
      </c>
      <c r="J118" s="220"/>
      <c r="K118" s="223"/>
    </row>
    <row r="119" spans="3:11" x14ac:dyDescent="0.25">
      <c r="C119" s="24" t="s">
        <v>140</v>
      </c>
      <c r="D119" s="155" t="s">
        <v>207</v>
      </c>
      <c r="E119" s="221"/>
      <c r="F119" s="224"/>
      <c r="H119" s="24" t="s">
        <v>140</v>
      </c>
      <c r="I119" s="7" t="s">
        <v>207</v>
      </c>
      <c r="J119" s="221"/>
      <c r="K119" s="224"/>
    </row>
    <row r="120" spans="3:11" x14ac:dyDescent="0.25">
      <c r="C120" s="229" t="s">
        <v>141</v>
      </c>
      <c r="D120" s="230"/>
      <c r="E120" s="231"/>
      <c r="F120" s="22">
        <f>SUM(F114,F115,F117,F118,F119)</f>
        <v>2344.7400281062837</v>
      </c>
      <c r="H120" s="229" t="s">
        <v>141</v>
      </c>
      <c r="I120" s="230"/>
      <c r="J120" s="231"/>
      <c r="K120" s="22">
        <f>SUM(K114,K115,K117,K118,K119)</f>
        <v>2049.6679734906925</v>
      </c>
    </row>
    <row r="121" spans="3:11" x14ac:dyDescent="0.25">
      <c r="C121" s="193"/>
      <c r="D121" s="194"/>
      <c r="E121" s="194"/>
      <c r="F121" s="195"/>
      <c r="H121" s="193"/>
      <c r="I121" s="194"/>
      <c r="J121" s="194"/>
      <c r="K121" s="195"/>
    </row>
    <row r="122" spans="3:11" x14ac:dyDescent="0.25">
      <c r="C122" s="232" t="s">
        <v>142</v>
      </c>
      <c r="D122" s="233"/>
      <c r="E122" s="234"/>
      <c r="F122" s="43" t="s">
        <v>65</v>
      </c>
      <c r="H122" s="232" t="s">
        <v>142</v>
      </c>
      <c r="I122" s="233"/>
      <c r="J122" s="234"/>
      <c r="K122" s="43" t="s">
        <v>65</v>
      </c>
    </row>
    <row r="123" spans="3:11" x14ac:dyDescent="0.25">
      <c r="C123" s="180" t="s">
        <v>143</v>
      </c>
      <c r="D123" s="181"/>
      <c r="E123" s="181"/>
      <c r="F123" s="182"/>
      <c r="H123" s="180" t="s">
        <v>143</v>
      </c>
      <c r="I123" s="181"/>
      <c r="J123" s="181"/>
      <c r="K123" s="182"/>
    </row>
    <row r="124" spans="3:11" x14ac:dyDescent="0.25">
      <c r="C124" s="6" t="s">
        <v>66</v>
      </c>
      <c r="D124" s="183" t="s">
        <v>144</v>
      </c>
      <c r="E124" s="184"/>
      <c r="F124" s="20">
        <f>F35</f>
        <v>5001.8609999999999</v>
      </c>
      <c r="H124" s="6" t="s">
        <v>66</v>
      </c>
      <c r="I124" s="183" t="s">
        <v>144</v>
      </c>
      <c r="J124" s="184"/>
      <c r="K124" s="20">
        <f>K35</f>
        <v>5001.8609999999999</v>
      </c>
    </row>
    <row r="125" spans="3:11" x14ac:dyDescent="0.25">
      <c r="C125" s="6" t="s">
        <v>39</v>
      </c>
      <c r="D125" s="183" t="s">
        <v>145</v>
      </c>
      <c r="E125" s="184"/>
      <c r="F125" s="20">
        <f>F67</f>
        <v>3890.9238739999996</v>
      </c>
      <c r="H125" s="6" t="s">
        <v>39</v>
      </c>
      <c r="I125" s="183" t="s">
        <v>145</v>
      </c>
      <c r="J125" s="184"/>
      <c r="K125" s="20">
        <f>K67</f>
        <v>2696.0348573333331</v>
      </c>
    </row>
    <row r="126" spans="3:11" x14ac:dyDescent="0.25">
      <c r="C126" s="6" t="s">
        <v>42</v>
      </c>
      <c r="D126" s="183" t="s">
        <v>146</v>
      </c>
      <c r="E126" s="184"/>
      <c r="F126" s="20">
        <f>F78</f>
        <v>315.79749609600003</v>
      </c>
      <c r="H126" s="6" t="s">
        <v>42</v>
      </c>
      <c r="I126" s="183" t="s">
        <v>146</v>
      </c>
      <c r="J126" s="184"/>
      <c r="K126" s="20">
        <f>K78</f>
        <v>315.79749609600003</v>
      </c>
    </row>
    <row r="127" spans="3:11" x14ac:dyDescent="0.25">
      <c r="C127" s="6" t="s">
        <v>44</v>
      </c>
      <c r="D127" s="183" t="s">
        <v>147</v>
      </c>
      <c r="E127" s="184"/>
      <c r="F127" s="20">
        <f>F98</f>
        <v>172.02671959665099</v>
      </c>
      <c r="H127" s="6" t="s">
        <v>44</v>
      </c>
      <c r="I127" s="183" t="s">
        <v>147</v>
      </c>
      <c r="J127" s="184"/>
      <c r="K127" s="20">
        <f>K98</f>
        <v>172.02671959665099</v>
      </c>
    </row>
    <row r="128" spans="3:11" x14ac:dyDescent="0.25">
      <c r="C128" s="6" t="s">
        <v>47</v>
      </c>
      <c r="D128" s="183" t="s">
        <v>148</v>
      </c>
      <c r="E128" s="184"/>
      <c r="F128" s="20">
        <f>F107</f>
        <v>114.3737888888889</v>
      </c>
      <c r="H128" s="6" t="s">
        <v>47</v>
      </c>
      <c r="I128" s="183" t="s">
        <v>148</v>
      </c>
      <c r="J128" s="184"/>
      <c r="K128" s="20">
        <f>K107</f>
        <v>114.3737888888889</v>
      </c>
    </row>
    <row r="129" spans="3:11" x14ac:dyDescent="0.25">
      <c r="C129" s="235" t="s">
        <v>149</v>
      </c>
      <c r="D129" s="236"/>
      <c r="E129" s="237"/>
      <c r="F129" s="20">
        <f>SUM(F124:F128)</f>
        <v>9494.9828785815389</v>
      </c>
      <c r="H129" s="235" t="s">
        <v>149</v>
      </c>
      <c r="I129" s="236"/>
      <c r="J129" s="237"/>
      <c r="K129" s="20">
        <f>SUM(K124:K128)</f>
        <v>8300.0938619148728</v>
      </c>
    </row>
    <row r="130" spans="3:11" x14ac:dyDescent="0.25">
      <c r="C130" s="6" t="s">
        <v>150</v>
      </c>
      <c r="D130" s="183" t="s">
        <v>151</v>
      </c>
      <c r="E130" s="184"/>
      <c r="F130" s="20">
        <f>F120</f>
        <v>2344.7400281062837</v>
      </c>
      <c r="H130" s="6" t="s">
        <v>150</v>
      </c>
      <c r="I130" s="183" t="s">
        <v>151</v>
      </c>
      <c r="J130" s="184"/>
      <c r="K130" s="20">
        <f>K120</f>
        <v>2049.6679734906925</v>
      </c>
    </row>
    <row r="131" spans="3:11" x14ac:dyDescent="0.25">
      <c r="C131" s="199" t="s">
        <v>152</v>
      </c>
      <c r="D131" s="201"/>
      <c r="E131" s="200"/>
      <c r="F131" s="42">
        <f>F129+F130</f>
        <v>11839.722906687823</v>
      </c>
      <c r="H131" s="199" t="s">
        <v>152</v>
      </c>
      <c r="I131" s="201"/>
      <c r="J131" s="200"/>
      <c r="K131" s="42">
        <f>K129+K130</f>
        <v>10349.761835405565</v>
      </c>
    </row>
    <row r="132" spans="3:11" x14ac:dyDescent="0.25">
      <c r="C132" s="199" t="s">
        <v>1084</v>
      </c>
      <c r="D132" s="201"/>
      <c r="E132" s="200"/>
      <c r="F132" s="42">
        <f>F131/220</f>
        <v>53.816922303126468</v>
      </c>
      <c r="H132" s="199" t="s">
        <v>1084</v>
      </c>
      <c r="I132" s="201"/>
      <c r="J132" s="200"/>
      <c r="K132" s="42">
        <f>K131/220</f>
        <v>47.044371979116207</v>
      </c>
    </row>
  </sheetData>
  <mergeCells count="164">
    <mergeCell ref="H131:J131"/>
    <mergeCell ref="C132:E132"/>
    <mergeCell ref="H132:J132"/>
    <mergeCell ref="I126:J126"/>
    <mergeCell ref="I127:J127"/>
    <mergeCell ref="I128:J128"/>
    <mergeCell ref="H129:J129"/>
    <mergeCell ref="I130:J130"/>
    <mergeCell ref="H121:K121"/>
    <mergeCell ref="H122:J122"/>
    <mergeCell ref="H123:K123"/>
    <mergeCell ref="I124:J124"/>
    <mergeCell ref="I125:J125"/>
    <mergeCell ref="H112:K112"/>
    <mergeCell ref="I116:K116"/>
    <mergeCell ref="J117:J119"/>
    <mergeCell ref="K117:K119"/>
    <mergeCell ref="H120:J120"/>
    <mergeCell ref="H107:J107"/>
    <mergeCell ref="H108:K108"/>
    <mergeCell ref="H109:J109"/>
    <mergeCell ref="H110:K110"/>
    <mergeCell ref="H111:K111"/>
    <mergeCell ref="H101:K101"/>
    <mergeCell ref="I102:J102"/>
    <mergeCell ref="I103:J103"/>
    <mergeCell ref="I105:J105"/>
    <mergeCell ref="I106:J106"/>
    <mergeCell ref="I96:J96"/>
    <mergeCell ref="I97:J97"/>
    <mergeCell ref="H98:J98"/>
    <mergeCell ref="H99:K99"/>
    <mergeCell ref="H100:K100"/>
    <mergeCell ref="H89:J89"/>
    <mergeCell ref="H90:K90"/>
    <mergeCell ref="H93:I93"/>
    <mergeCell ref="H94:K94"/>
    <mergeCell ref="H95:J95"/>
    <mergeCell ref="H70:K70"/>
    <mergeCell ref="H78:J78"/>
    <mergeCell ref="H79:K79"/>
    <mergeCell ref="H80:K80"/>
    <mergeCell ref="H81:K81"/>
    <mergeCell ref="I65:J65"/>
    <mergeCell ref="I66:J66"/>
    <mergeCell ref="H67:J67"/>
    <mergeCell ref="H68:K68"/>
    <mergeCell ref="H69:K69"/>
    <mergeCell ref="H54:K54"/>
    <mergeCell ref="H61:J61"/>
    <mergeCell ref="H62:K62"/>
    <mergeCell ref="H63:J63"/>
    <mergeCell ref="I64:J64"/>
    <mergeCell ref="H37:K37"/>
    <mergeCell ref="H38:K38"/>
    <mergeCell ref="H42:J42"/>
    <mergeCell ref="H43:K43"/>
    <mergeCell ref="H53:I53"/>
    <mergeCell ref="H25:K25"/>
    <mergeCell ref="H26:K26"/>
    <mergeCell ref="I27:J27"/>
    <mergeCell ref="H35:J35"/>
    <mergeCell ref="H36:K36"/>
    <mergeCell ref="H20:K20"/>
    <mergeCell ref="I21:J21"/>
    <mergeCell ref="I22:J22"/>
    <mergeCell ref="I23:J23"/>
    <mergeCell ref="H24:K24"/>
    <mergeCell ref="H15:K15"/>
    <mergeCell ref="H16:K16"/>
    <mergeCell ref="J17:K17"/>
    <mergeCell ref="J18:K18"/>
    <mergeCell ref="J19:K19"/>
    <mergeCell ref="J10:K10"/>
    <mergeCell ref="J11:K11"/>
    <mergeCell ref="J12:K12"/>
    <mergeCell ref="J13:K13"/>
    <mergeCell ref="H14:K14"/>
    <mergeCell ref="H4:K4"/>
    <mergeCell ref="H5:K5"/>
    <mergeCell ref="H6:K6"/>
    <mergeCell ref="J7:K7"/>
    <mergeCell ref="J8:K8"/>
    <mergeCell ref="E10:F10"/>
    <mergeCell ref="C4:F4"/>
    <mergeCell ref="C5:F5"/>
    <mergeCell ref="C6:F6"/>
    <mergeCell ref="E7:F7"/>
    <mergeCell ref="E8:F8"/>
    <mergeCell ref="D22:E22"/>
    <mergeCell ref="E11:F11"/>
    <mergeCell ref="E12:F12"/>
    <mergeCell ref="E13:F13"/>
    <mergeCell ref="C14:F14"/>
    <mergeCell ref="C15:F15"/>
    <mergeCell ref="C16:F16"/>
    <mergeCell ref="E17:F17"/>
    <mergeCell ref="E18:F18"/>
    <mergeCell ref="E19:F19"/>
    <mergeCell ref="C20:F20"/>
    <mergeCell ref="D21:E21"/>
    <mergeCell ref="C53:D53"/>
    <mergeCell ref="D23:E23"/>
    <mergeCell ref="C24:F24"/>
    <mergeCell ref="C25:F25"/>
    <mergeCell ref="C26:F26"/>
    <mergeCell ref="D27:E27"/>
    <mergeCell ref="C35:E35"/>
    <mergeCell ref="C36:F36"/>
    <mergeCell ref="C37:F37"/>
    <mergeCell ref="C38:F38"/>
    <mergeCell ref="C42:E42"/>
    <mergeCell ref="C43:F43"/>
    <mergeCell ref="C78:E78"/>
    <mergeCell ref="C54:F54"/>
    <mergeCell ref="C61:E61"/>
    <mergeCell ref="C62:F62"/>
    <mergeCell ref="C63:E63"/>
    <mergeCell ref="D64:E64"/>
    <mergeCell ref="D65:E65"/>
    <mergeCell ref="D66:E66"/>
    <mergeCell ref="C67:E67"/>
    <mergeCell ref="C68:F68"/>
    <mergeCell ref="C69:F69"/>
    <mergeCell ref="C70:F70"/>
    <mergeCell ref="C99:F99"/>
    <mergeCell ref="C79:F79"/>
    <mergeCell ref="C80:F80"/>
    <mergeCell ref="C81:F81"/>
    <mergeCell ref="C89:E89"/>
    <mergeCell ref="C90:F90"/>
    <mergeCell ref="C93:D93"/>
    <mergeCell ref="C94:F94"/>
    <mergeCell ref="C95:E95"/>
    <mergeCell ref="D96:E96"/>
    <mergeCell ref="D97:E97"/>
    <mergeCell ref="C98:E98"/>
    <mergeCell ref="C112:F112"/>
    <mergeCell ref="C100:F100"/>
    <mergeCell ref="C101:F101"/>
    <mergeCell ref="D102:E102"/>
    <mergeCell ref="D103:E103"/>
    <mergeCell ref="D105:E105"/>
    <mergeCell ref="D106:E106"/>
    <mergeCell ref="C107:E107"/>
    <mergeCell ref="C108:F108"/>
    <mergeCell ref="C109:E109"/>
    <mergeCell ref="C110:F110"/>
    <mergeCell ref="C111:F111"/>
    <mergeCell ref="D116:F116"/>
    <mergeCell ref="C120:E120"/>
    <mergeCell ref="C121:F121"/>
    <mergeCell ref="C122:E122"/>
    <mergeCell ref="C123:F123"/>
    <mergeCell ref="C131:E131"/>
    <mergeCell ref="E117:E119"/>
    <mergeCell ref="F117:F119"/>
    <mergeCell ref="D125:E125"/>
    <mergeCell ref="D126:E126"/>
    <mergeCell ref="D127:E127"/>
    <mergeCell ref="D128:E128"/>
    <mergeCell ref="C129:E129"/>
    <mergeCell ref="D130:E130"/>
    <mergeCell ref="D124:E12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573D1-51CA-490E-837A-2D4C83F08271}">
  <dimension ref="C1:K9"/>
  <sheetViews>
    <sheetView tabSelected="1" workbookViewId="0">
      <selection activeCell="J12" sqref="J12"/>
    </sheetView>
  </sheetViews>
  <sheetFormatPr defaultRowHeight="15" x14ac:dyDescent="0.25"/>
  <cols>
    <col min="3" max="3" width="13.42578125" customWidth="1"/>
    <col min="4" max="4" width="31" customWidth="1"/>
    <col min="5" max="5" width="31.140625" bestFit="1" customWidth="1"/>
    <col min="6" max="6" width="30" bestFit="1" customWidth="1"/>
    <col min="9" max="9" width="26.140625" bestFit="1" customWidth="1"/>
    <col min="10" max="10" width="31.5703125" bestFit="1" customWidth="1"/>
    <col min="11" max="11" width="30.42578125" bestFit="1" customWidth="1"/>
  </cols>
  <sheetData>
    <row r="1" spans="3:11" ht="15.75" thickBot="1" x14ac:dyDescent="0.3"/>
    <row r="2" spans="3:11" ht="15.75" thickBot="1" x14ac:dyDescent="0.3">
      <c r="C2" s="238" t="s">
        <v>1128</v>
      </c>
      <c r="D2" s="239"/>
      <c r="E2" s="239"/>
      <c r="F2" s="240"/>
      <c r="H2" s="238" t="s">
        <v>1130</v>
      </c>
      <c r="I2" s="239"/>
      <c r="J2" s="239"/>
      <c r="K2" s="240"/>
    </row>
    <row r="3" spans="3:11" ht="15.75" thickBot="1" x14ac:dyDescent="0.3">
      <c r="C3" s="150" t="s">
        <v>165</v>
      </c>
      <c r="D3" s="150" t="s">
        <v>1121</v>
      </c>
      <c r="E3" s="150" t="s">
        <v>1122</v>
      </c>
      <c r="F3" s="150" t="s">
        <v>1123</v>
      </c>
      <c r="H3" s="150" t="s">
        <v>165</v>
      </c>
      <c r="I3" s="150" t="s">
        <v>1121</v>
      </c>
      <c r="J3" s="150" t="s">
        <v>1122</v>
      </c>
      <c r="K3" s="150" t="s">
        <v>1123</v>
      </c>
    </row>
    <row r="4" spans="3:11" ht="45" x14ac:dyDescent="0.25">
      <c r="C4" s="145">
        <v>1</v>
      </c>
      <c r="D4" s="146" t="s">
        <v>1124</v>
      </c>
      <c r="E4" s="147">
        <f>'Resumo - Mão de Obra'!E16</f>
        <v>113028.19241239726</v>
      </c>
      <c r="F4" s="144">
        <f>E4*12</f>
        <v>1356338.3089487671</v>
      </c>
      <c r="H4" s="145">
        <v>1</v>
      </c>
      <c r="I4" s="146" t="s">
        <v>1124</v>
      </c>
      <c r="J4" s="147">
        <f>'Resumo - Mão de Obra'!J16</f>
        <v>99060.760152468603</v>
      </c>
      <c r="K4" s="144">
        <f>J4*12</f>
        <v>1188729.1218296234</v>
      </c>
    </row>
    <row r="5" spans="3:11" x14ac:dyDescent="0.25">
      <c r="C5" s="74">
        <v>2</v>
      </c>
      <c r="D5" s="74" t="s">
        <v>1125</v>
      </c>
      <c r="E5" s="144">
        <f>'MATERIAIS E PEÇAS'!E602</f>
        <v>28285.205062401303</v>
      </c>
      <c r="F5" s="149">
        <f>E5*12</f>
        <v>339422.46074881562</v>
      </c>
      <c r="H5" s="74">
        <v>2</v>
      </c>
      <c r="I5" s="74" t="s">
        <v>1125</v>
      </c>
      <c r="J5" s="144">
        <f>'MATERIAIS E PEÇAS'!E612</f>
        <v>29670.979942976221</v>
      </c>
      <c r="K5" s="149">
        <f>J5*12</f>
        <v>356051.75931571465</v>
      </c>
    </row>
    <row r="6" spans="3:11" x14ac:dyDescent="0.25">
      <c r="C6" s="74">
        <v>3</v>
      </c>
      <c r="D6" s="74" t="s">
        <v>1126</v>
      </c>
      <c r="E6" s="144">
        <f>'SERVIÇOS EVENTUAIS'!K22</f>
        <v>13090.468842159258</v>
      </c>
      <c r="F6" s="144">
        <f t="shared" ref="F6" si="0">E6*12</f>
        <v>157085.6261059111</v>
      </c>
      <c r="H6" s="74">
        <v>3</v>
      </c>
      <c r="I6" s="74" t="s">
        <v>1126</v>
      </c>
      <c r="J6" s="144">
        <f>'SERVIÇOS EVENTUAIS'!K46</f>
        <v>13768.731476468029</v>
      </c>
      <c r="K6" s="144">
        <f t="shared" ref="K6:K7" si="1">J6*12</f>
        <v>165224.77771761635</v>
      </c>
    </row>
    <row r="7" spans="3:11" ht="15.75" thickBot="1" x14ac:dyDescent="0.3">
      <c r="C7" s="148">
        <v>4</v>
      </c>
      <c r="D7" s="148" t="s">
        <v>1127</v>
      </c>
      <c r="E7" s="144">
        <f>'Serviços Especializados'!F14/12</f>
        <v>9255.8783333333322</v>
      </c>
      <c r="F7" s="144">
        <f>E7*12</f>
        <v>111070.53999999998</v>
      </c>
      <c r="H7" s="148">
        <v>4</v>
      </c>
      <c r="I7" s="148" t="s">
        <v>1127</v>
      </c>
      <c r="J7" s="144">
        <f>'Serviços Especializados'!O14/12</f>
        <v>9709.3508333333339</v>
      </c>
      <c r="K7" s="144">
        <f t="shared" si="1"/>
        <v>116512.21</v>
      </c>
    </row>
    <row r="8" spans="3:11" ht="15.75" thickBot="1" x14ac:dyDescent="0.3">
      <c r="C8" s="241" t="s">
        <v>1129</v>
      </c>
      <c r="D8" s="242"/>
      <c r="E8" s="165">
        <f>SUM(E4:E7)</f>
        <v>163659.74465029113</v>
      </c>
      <c r="F8" s="165">
        <f>SUM(F4:F7)</f>
        <v>1963916.935803494</v>
      </c>
      <c r="H8" s="243" t="s">
        <v>1129</v>
      </c>
      <c r="I8" s="244"/>
      <c r="J8" s="151">
        <f>SUM(J4:J7)</f>
        <v>152209.82240524617</v>
      </c>
      <c r="K8" s="151">
        <f>SUM(K4:K7)</f>
        <v>1826517.8688629544</v>
      </c>
    </row>
    <row r="9" spans="3:11" x14ac:dyDescent="0.25">
      <c r="C9" s="344"/>
      <c r="D9" s="344"/>
      <c r="E9" s="344"/>
      <c r="F9" s="166"/>
      <c r="H9" s="345" t="s">
        <v>1160</v>
      </c>
      <c r="I9" s="345"/>
      <c r="J9" s="345"/>
      <c r="K9" s="166">
        <f>5*K8</f>
        <v>9132589.3443147726</v>
      </c>
    </row>
  </sheetData>
  <mergeCells count="5">
    <mergeCell ref="C2:F2"/>
    <mergeCell ref="C8:D8"/>
    <mergeCell ref="H2:K2"/>
    <mergeCell ref="H8:I8"/>
    <mergeCell ref="H9:J9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F7AF1-B065-43A2-8DE8-AAC62A876421}">
  <dimension ref="C2:K16"/>
  <sheetViews>
    <sheetView topLeftCell="B1" workbookViewId="0">
      <selection activeCell="F23" sqref="F23"/>
    </sheetView>
  </sheetViews>
  <sheetFormatPr defaultRowHeight="15" x14ac:dyDescent="0.25"/>
  <cols>
    <col min="3" max="3" width="28.28515625" bestFit="1" customWidth="1"/>
    <col min="4" max="5" width="15" bestFit="1" customWidth="1"/>
    <col min="6" max="6" width="15.85546875" bestFit="1" customWidth="1"/>
    <col min="8" max="8" width="28.28515625" bestFit="1" customWidth="1"/>
    <col min="9" max="9" width="11.42578125" bestFit="1" customWidth="1"/>
    <col min="10" max="10" width="15" bestFit="1" customWidth="1"/>
    <col min="11" max="11" width="15.85546875" bestFit="1" customWidth="1"/>
  </cols>
  <sheetData>
    <row r="2" spans="3:11" ht="15.75" thickBot="1" x14ac:dyDescent="0.3"/>
    <row r="3" spans="3:11" ht="15.75" thickBot="1" x14ac:dyDescent="0.3">
      <c r="C3" s="238" t="s">
        <v>1115</v>
      </c>
      <c r="D3" s="239"/>
      <c r="E3" s="239"/>
      <c r="F3" s="240"/>
      <c r="H3" s="238" t="s">
        <v>1131</v>
      </c>
      <c r="I3" s="239"/>
      <c r="J3" s="239"/>
      <c r="K3" s="240"/>
    </row>
    <row r="4" spans="3:11" x14ac:dyDescent="0.25">
      <c r="C4" s="141"/>
      <c r="D4" s="141" t="s">
        <v>57</v>
      </c>
      <c r="E4" s="141" t="s">
        <v>855</v>
      </c>
      <c r="F4" s="141" t="s">
        <v>856</v>
      </c>
      <c r="H4" s="141"/>
      <c r="I4" s="141" t="s">
        <v>57</v>
      </c>
      <c r="J4" s="141" t="s">
        <v>855</v>
      </c>
      <c r="K4" s="141" t="s">
        <v>856</v>
      </c>
    </row>
    <row r="5" spans="3:11" x14ac:dyDescent="0.25">
      <c r="C5" s="4" t="s">
        <v>1110</v>
      </c>
      <c r="D5" s="142">
        <v>1</v>
      </c>
      <c r="E5" s="139">
        <f>ENGENHEIROS!F130</f>
        <v>5151.3987504471997</v>
      </c>
      <c r="F5" s="143">
        <f>D5*E5*12</f>
        <v>61816.785005366401</v>
      </c>
      <c r="H5" s="4" t="s">
        <v>1110</v>
      </c>
      <c r="I5" s="142">
        <v>1</v>
      </c>
      <c r="J5" s="139">
        <f>ENGENHEIROS!K130</f>
        <v>4358.6048752127526</v>
      </c>
      <c r="K5" s="143">
        <f>I5*J5*12</f>
        <v>52303.258502553028</v>
      </c>
    </row>
    <row r="6" spans="3:11" x14ac:dyDescent="0.25">
      <c r="C6" s="4" t="s">
        <v>1111</v>
      </c>
      <c r="D6" s="142">
        <v>1</v>
      </c>
      <c r="E6" s="162">
        <f>'OFICIAL - CBA'!F131</f>
        <v>11839.722906687823</v>
      </c>
      <c r="F6" s="143">
        <f t="shared" ref="F6:F15" si="0">D6*E6*12</f>
        <v>142076.67488025388</v>
      </c>
      <c r="H6" s="4" t="s">
        <v>1111</v>
      </c>
      <c r="I6" s="142">
        <v>1</v>
      </c>
      <c r="J6" s="162">
        <f>'OFICIAL - CBA'!K131</f>
        <v>10349.761835405565</v>
      </c>
      <c r="K6" s="143">
        <f t="shared" ref="K6:K15" si="1">I6*J6*12</f>
        <v>124197.14202486677</v>
      </c>
    </row>
    <row r="7" spans="3:11" x14ac:dyDescent="0.25">
      <c r="C7" s="4" t="s">
        <v>1133</v>
      </c>
      <c r="D7" s="142">
        <v>1</v>
      </c>
      <c r="E7" s="162">
        <f>'TÉCNICO EM EDIFICAÇÕES'!F131</f>
        <v>12346.12726006602</v>
      </c>
      <c r="F7" s="143">
        <f t="shared" si="0"/>
        <v>148153.52712079225</v>
      </c>
      <c r="H7" s="4" t="s">
        <v>1133</v>
      </c>
      <c r="I7" s="142">
        <v>1</v>
      </c>
      <c r="J7" s="162">
        <f>'TÉCNICO EM EDIFICAÇÕES'!K131</f>
        <v>10794.425812264042</v>
      </c>
      <c r="K7" s="143">
        <f t="shared" si="1"/>
        <v>129533.10974716851</v>
      </c>
    </row>
    <row r="8" spans="3:11" x14ac:dyDescent="0.25">
      <c r="C8" s="4" t="s">
        <v>222</v>
      </c>
      <c r="D8" s="142">
        <v>1</v>
      </c>
      <c r="E8" s="162">
        <f>ELETRICISTA!F131</f>
        <v>9581.8430859619402</v>
      </c>
      <c r="F8" s="143">
        <f t="shared" si="0"/>
        <v>114982.11703154328</v>
      </c>
      <c r="H8" s="4" t="s">
        <v>222</v>
      </c>
      <c r="I8" s="142">
        <v>1</v>
      </c>
      <c r="J8" s="162">
        <f>ELETRICISTA!K131</f>
        <v>8419.1222447674008</v>
      </c>
      <c r="K8" s="143">
        <f t="shared" si="1"/>
        <v>101029.46693720881</v>
      </c>
    </row>
    <row r="9" spans="3:11" x14ac:dyDescent="0.25">
      <c r="C9" s="4" t="s">
        <v>225</v>
      </c>
      <c r="D9" s="142">
        <v>1</v>
      </c>
      <c r="E9" s="162">
        <f>'Auxiliar de Manutenção'!F131*D9</f>
        <v>8956.108663505318</v>
      </c>
      <c r="F9" s="143">
        <f>E9*12</f>
        <v>107473.30396206382</v>
      </c>
      <c r="H9" s="4" t="s">
        <v>225</v>
      </c>
      <c r="I9" s="142">
        <v>1</v>
      </c>
      <c r="J9" s="162">
        <f>'Auxiliar de Manutenção'!K131*I9</f>
        <v>7873.3850484506347</v>
      </c>
      <c r="K9" s="143">
        <f>J9*12</f>
        <v>94480.620581407624</v>
      </c>
    </row>
    <row r="10" spans="3:11" x14ac:dyDescent="0.25">
      <c r="C10" s="4" t="s">
        <v>1112</v>
      </c>
      <c r="D10" s="142">
        <v>1</v>
      </c>
      <c r="E10" s="162">
        <f>'MECÂNICO DE REFRIGERAÇÃO'!F131</f>
        <v>8675.9750722135977</v>
      </c>
      <c r="F10" s="143">
        <f t="shared" si="0"/>
        <v>104111.70086656317</v>
      </c>
      <c r="H10" s="4" t="s">
        <v>1112</v>
      </c>
      <c r="I10" s="142">
        <v>1</v>
      </c>
      <c r="J10" s="162">
        <f>'MECÂNICO DE REFRIGERAÇÃO'!K131</f>
        <v>7641.5061495264581</v>
      </c>
      <c r="K10" s="143">
        <f t="shared" si="1"/>
        <v>91698.07379431749</v>
      </c>
    </row>
    <row r="11" spans="3:11" x14ac:dyDescent="0.25">
      <c r="C11" s="4" t="s">
        <v>1116</v>
      </c>
      <c r="D11" s="142">
        <v>1</v>
      </c>
      <c r="E11" s="162">
        <f>'OFICIAL - BRG'!F131</f>
        <v>11631.504598927846</v>
      </c>
      <c r="F11" s="143">
        <f t="shared" si="0"/>
        <v>139578.05518713416</v>
      </c>
      <c r="H11" s="4" t="s">
        <v>1116</v>
      </c>
      <c r="I11" s="142">
        <v>1</v>
      </c>
      <c r="J11" s="162">
        <f>'OFICIAL - BRG'!K131</f>
        <v>10396.201537474335</v>
      </c>
      <c r="K11" s="143">
        <f t="shared" si="1"/>
        <v>124754.41844969202</v>
      </c>
    </row>
    <row r="12" spans="3:11" x14ac:dyDescent="0.25">
      <c r="C12" s="4" t="s">
        <v>1117</v>
      </c>
      <c r="D12" s="142">
        <v>1</v>
      </c>
      <c r="E12" s="162">
        <f>'OFICIAL - CAE'!F131</f>
        <v>11839.722906687823</v>
      </c>
      <c r="F12" s="143">
        <f t="shared" si="0"/>
        <v>142076.67488025388</v>
      </c>
      <c r="H12" s="4" t="s">
        <v>1117</v>
      </c>
      <c r="I12" s="142">
        <v>1</v>
      </c>
      <c r="J12" s="162">
        <f>'OFICIAL - CAE'!K131</f>
        <v>10349.761835405565</v>
      </c>
      <c r="K12" s="143">
        <f t="shared" si="1"/>
        <v>124197.14202486677</v>
      </c>
    </row>
    <row r="13" spans="3:11" x14ac:dyDescent="0.25">
      <c r="C13" s="4" t="s">
        <v>1118</v>
      </c>
      <c r="D13" s="142">
        <v>1</v>
      </c>
      <c r="E13" s="162">
        <f>'OFICIAL - SIC'!F131</f>
        <v>11711.518002446481</v>
      </c>
      <c r="F13" s="143">
        <f t="shared" si="0"/>
        <v>140538.21602935778</v>
      </c>
      <c r="H13" s="4" t="s">
        <v>1118</v>
      </c>
      <c r="I13" s="142">
        <v>1</v>
      </c>
      <c r="J13" s="162">
        <f>'OFICIAL - SIC'!K131</f>
        <v>10349.761835405565</v>
      </c>
      <c r="K13" s="143">
        <f t="shared" si="1"/>
        <v>124197.14202486677</v>
      </c>
    </row>
    <row r="14" spans="3:11" x14ac:dyDescent="0.25">
      <c r="C14" s="4" t="s">
        <v>1119</v>
      </c>
      <c r="D14" s="142">
        <v>1</v>
      </c>
      <c r="E14" s="162">
        <f>'OFICIAL - ROO'!F131</f>
        <v>11839.722906687823</v>
      </c>
      <c r="F14" s="143">
        <f t="shared" si="0"/>
        <v>142076.67488025388</v>
      </c>
      <c r="H14" s="4" t="s">
        <v>1119</v>
      </c>
      <c r="I14" s="142">
        <v>1</v>
      </c>
      <c r="J14" s="162">
        <f>'OFICIAL - ROO'!K131</f>
        <v>10349.761835405565</v>
      </c>
      <c r="K14" s="143">
        <f t="shared" si="1"/>
        <v>124197.14202486677</v>
      </c>
    </row>
    <row r="15" spans="3:11" x14ac:dyDescent="0.25">
      <c r="C15" s="4" t="s">
        <v>1113</v>
      </c>
      <c r="D15" s="142">
        <v>1</v>
      </c>
      <c r="E15" s="139">
        <f>'Horas Extras'!I8</f>
        <v>9454.5482587653969</v>
      </c>
      <c r="F15" s="143">
        <f t="shared" si="0"/>
        <v>113454.57910518476</v>
      </c>
      <c r="H15" s="4" t="s">
        <v>1113</v>
      </c>
      <c r="I15" s="142">
        <v>1</v>
      </c>
      <c r="J15" s="139">
        <f>'Horas Extras'!I20</f>
        <v>8178.4671431507313</v>
      </c>
      <c r="K15" s="143">
        <f t="shared" si="1"/>
        <v>98141.605717808779</v>
      </c>
    </row>
    <row r="16" spans="3:11" x14ac:dyDescent="0.25">
      <c r="C16" s="138" t="s">
        <v>1114</v>
      </c>
      <c r="D16" s="138"/>
      <c r="E16" s="140">
        <f>SUM(E5:E15)</f>
        <v>113028.19241239726</v>
      </c>
      <c r="F16" s="140">
        <f>SUM(F5:F15)</f>
        <v>1356338.3089487674</v>
      </c>
      <c r="H16" s="138" t="s">
        <v>1114</v>
      </c>
      <c r="I16" s="138"/>
      <c r="J16" s="140">
        <f>SUM(J5:J15)</f>
        <v>99060.760152468603</v>
      </c>
      <c r="K16" s="140">
        <f>SUM(K5:K15)</f>
        <v>1188729.1218296234</v>
      </c>
    </row>
  </sheetData>
  <mergeCells count="2">
    <mergeCell ref="C3:F3"/>
    <mergeCell ref="H3:K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B63C7-A1F2-4984-B72A-278B72214477}">
  <dimension ref="A1:U16"/>
  <sheetViews>
    <sheetView topLeftCell="E1" workbookViewId="0">
      <selection activeCell="H3" sqref="H3:I3"/>
    </sheetView>
  </sheetViews>
  <sheetFormatPr defaultRowHeight="15" x14ac:dyDescent="0.25"/>
  <cols>
    <col min="2" max="2" width="25" bestFit="1" customWidth="1"/>
    <col min="4" max="4" width="6.7109375" bestFit="1" customWidth="1"/>
    <col min="5" max="5" width="7.140625" bestFit="1" customWidth="1"/>
    <col min="6" max="6" width="25" bestFit="1" customWidth="1"/>
    <col min="7" max="7" width="14.28515625" customWidth="1"/>
    <col min="8" max="8" width="14.28515625" bestFit="1" customWidth="1"/>
    <col min="9" max="9" width="52.140625" customWidth="1"/>
    <col min="14" max="14" width="25" bestFit="1" customWidth="1"/>
    <col min="18" max="18" width="25" bestFit="1" customWidth="1"/>
    <col min="19" max="19" width="7.140625" bestFit="1" customWidth="1"/>
    <col min="20" max="20" width="14.28515625" bestFit="1" customWidth="1"/>
    <col min="21" max="21" width="14.7109375" customWidth="1"/>
  </cols>
  <sheetData>
    <row r="1" spans="1:21" x14ac:dyDescent="0.25">
      <c r="A1" s="260" t="s">
        <v>0</v>
      </c>
      <c r="B1" s="260"/>
      <c r="C1" s="260"/>
      <c r="D1" s="260"/>
      <c r="E1" s="260"/>
      <c r="F1" s="260"/>
      <c r="G1" s="260"/>
      <c r="H1" s="260"/>
      <c r="I1" s="260"/>
      <c r="M1" s="260" t="s">
        <v>0</v>
      </c>
      <c r="N1" s="260"/>
      <c r="O1" s="260"/>
      <c r="P1" s="260"/>
      <c r="Q1" s="260"/>
      <c r="R1" s="260"/>
      <c r="S1" s="260"/>
      <c r="T1" s="260"/>
      <c r="U1" s="260"/>
    </row>
    <row r="2" spans="1:21" ht="33" customHeight="1" x14ac:dyDescent="0.25">
      <c r="A2" s="260" t="s">
        <v>1</v>
      </c>
      <c r="B2" s="260"/>
      <c r="C2" s="260"/>
      <c r="D2" s="260"/>
      <c r="E2" s="260"/>
      <c r="F2" s="260"/>
      <c r="G2" s="260"/>
      <c r="H2" s="260" t="s">
        <v>2</v>
      </c>
      <c r="I2" s="260"/>
      <c r="M2" s="260" t="s">
        <v>1</v>
      </c>
      <c r="N2" s="260"/>
      <c r="O2" s="260"/>
      <c r="P2" s="260"/>
      <c r="Q2" s="260"/>
      <c r="R2" s="260"/>
      <c r="S2" s="260"/>
      <c r="T2" s="260" t="s">
        <v>3</v>
      </c>
      <c r="U2" s="260"/>
    </row>
    <row r="3" spans="1:21" ht="81.75" customHeight="1" x14ac:dyDescent="0.25">
      <c r="A3" s="254" t="s">
        <v>4</v>
      </c>
      <c r="B3" s="254"/>
      <c r="C3" s="254"/>
      <c r="D3" s="254"/>
      <c r="E3" s="254"/>
      <c r="F3" s="254"/>
      <c r="G3" s="254"/>
      <c r="H3" s="255" t="s">
        <v>1137</v>
      </c>
      <c r="I3" s="255"/>
      <c r="M3" s="254" t="s">
        <v>4</v>
      </c>
      <c r="N3" s="254"/>
      <c r="O3" s="254"/>
      <c r="P3" s="254"/>
      <c r="Q3" s="254"/>
      <c r="R3" s="254"/>
      <c r="S3" s="254"/>
      <c r="T3" s="255" t="s">
        <v>1136</v>
      </c>
      <c r="U3" s="255"/>
    </row>
    <row r="4" spans="1:21" ht="38.25" customHeight="1" x14ac:dyDescent="0.25">
      <c r="A4" s="256" t="s">
        <v>5</v>
      </c>
      <c r="B4" s="256"/>
      <c r="C4" s="256" t="s">
        <v>6</v>
      </c>
      <c r="D4" s="256"/>
      <c r="E4" s="256"/>
      <c r="F4" s="257" t="s">
        <v>7</v>
      </c>
      <c r="G4" s="257"/>
      <c r="H4" s="257" t="s">
        <v>8</v>
      </c>
      <c r="I4" s="258">
        <f>((((1+(G6+G7+G9))*(1+G8)*(1+G10))/(1-G11))-1)</f>
        <v>0.24692953096880155</v>
      </c>
      <c r="M4" s="256" t="s">
        <v>5</v>
      </c>
      <c r="N4" s="256"/>
      <c r="O4" s="256" t="s">
        <v>6</v>
      </c>
      <c r="P4" s="256"/>
      <c r="Q4" s="256"/>
      <c r="R4" s="257" t="s">
        <v>7</v>
      </c>
      <c r="S4" s="257"/>
      <c r="T4" s="257" t="s">
        <v>8</v>
      </c>
      <c r="U4" s="258">
        <f>((((1+(S6+S7+S9))*(1+S8)*(1+S10))/(1-S11))-1)</f>
        <v>0.31153727868739223</v>
      </c>
    </row>
    <row r="5" spans="1:21" ht="30" x14ac:dyDescent="0.25">
      <c r="A5" s="256"/>
      <c r="B5" s="256"/>
      <c r="C5" s="1" t="s">
        <v>9</v>
      </c>
      <c r="D5" s="1" t="s">
        <v>10</v>
      </c>
      <c r="E5" s="1" t="s">
        <v>11</v>
      </c>
      <c r="F5" s="257"/>
      <c r="G5" s="257"/>
      <c r="H5" s="257"/>
      <c r="I5" s="259"/>
      <c r="M5" s="256"/>
      <c r="N5" s="256"/>
      <c r="O5" s="1" t="s">
        <v>9</v>
      </c>
      <c r="P5" s="1" t="s">
        <v>10</v>
      </c>
      <c r="Q5" s="1" t="s">
        <v>11</v>
      </c>
      <c r="R5" s="257"/>
      <c r="S5" s="257"/>
      <c r="T5" s="257"/>
      <c r="U5" s="259"/>
    </row>
    <row r="6" spans="1:21" x14ac:dyDescent="0.25">
      <c r="A6" s="2">
        <v>1</v>
      </c>
      <c r="B6" s="2" t="s">
        <v>12</v>
      </c>
      <c r="C6" s="3">
        <v>8.0000000000000002E-3</v>
      </c>
      <c r="D6" s="3">
        <v>8.0000000000000002E-3</v>
      </c>
      <c r="E6" s="3">
        <v>0.01</v>
      </c>
      <c r="F6" s="4" t="s">
        <v>12</v>
      </c>
      <c r="G6" s="5">
        <v>8.0000000000000002E-3</v>
      </c>
      <c r="H6" s="247" t="s">
        <v>13</v>
      </c>
      <c r="I6" s="247"/>
      <c r="M6" s="2">
        <v>1</v>
      </c>
      <c r="N6" s="2" t="s">
        <v>12</v>
      </c>
      <c r="O6" s="3">
        <v>8.0000000000000002E-3</v>
      </c>
      <c r="P6" s="3">
        <v>8.0000000000000002E-3</v>
      </c>
      <c r="Q6" s="3">
        <v>0.01</v>
      </c>
      <c r="R6" s="4" t="s">
        <v>12</v>
      </c>
      <c r="S6" s="5">
        <v>8.0000000000000002E-3</v>
      </c>
      <c r="T6" s="247" t="s">
        <v>13</v>
      </c>
      <c r="U6" s="247"/>
    </row>
    <row r="7" spans="1:21" x14ac:dyDescent="0.25">
      <c r="A7" s="2">
        <v>2</v>
      </c>
      <c r="B7" s="2" t="s">
        <v>14</v>
      </c>
      <c r="C7" s="3">
        <v>9.7000000000000003E-3</v>
      </c>
      <c r="D7" s="3">
        <v>1.2699999999999999E-2</v>
      </c>
      <c r="E7" s="3">
        <v>1.2699999999999999E-2</v>
      </c>
      <c r="F7" s="4" t="s">
        <v>14</v>
      </c>
      <c r="G7" s="5">
        <v>9.7000000000000003E-3</v>
      </c>
      <c r="H7" s="247"/>
      <c r="I7" s="247"/>
      <c r="M7" s="2">
        <v>2</v>
      </c>
      <c r="N7" s="2" t="s">
        <v>14</v>
      </c>
      <c r="O7" s="3">
        <v>9.7000000000000003E-3</v>
      </c>
      <c r="P7" s="3">
        <v>1.2699999999999999E-2</v>
      </c>
      <c r="Q7" s="3">
        <v>1.2699999999999999E-2</v>
      </c>
      <c r="R7" s="4" t="s">
        <v>14</v>
      </c>
      <c r="S7" s="5">
        <v>9.7000000000000003E-3</v>
      </c>
      <c r="T7" s="247"/>
      <c r="U7" s="247"/>
    </row>
    <row r="8" spans="1:21" x14ac:dyDescent="0.25">
      <c r="A8" s="2">
        <v>3</v>
      </c>
      <c r="B8" s="2" t="s">
        <v>15</v>
      </c>
      <c r="C8" s="3">
        <v>5.8999999999999999E-3</v>
      </c>
      <c r="D8" s="3">
        <v>1.23E-2</v>
      </c>
      <c r="E8" s="3">
        <v>1.3899999999999999E-2</v>
      </c>
      <c r="F8" s="4" t="s">
        <v>15</v>
      </c>
      <c r="G8" s="5">
        <v>1.23E-2</v>
      </c>
      <c r="H8" s="247" t="s">
        <v>16</v>
      </c>
      <c r="I8" s="247"/>
      <c r="M8" s="2">
        <v>3</v>
      </c>
      <c r="N8" s="2" t="s">
        <v>15</v>
      </c>
      <c r="O8" s="3">
        <v>5.8999999999999999E-3</v>
      </c>
      <c r="P8" s="3">
        <v>1.23E-2</v>
      </c>
      <c r="Q8" s="3">
        <v>1.3899999999999999E-2</v>
      </c>
      <c r="R8" s="4" t="s">
        <v>15</v>
      </c>
      <c r="S8" s="5">
        <v>1.23E-2</v>
      </c>
      <c r="T8" s="247" t="s">
        <v>16</v>
      </c>
      <c r="U8" s="247"/>
    </row>
    <row r="9" spans="1:21" x14ac:dyDescent="0.25">
      <c r="A9" s="2">
        <v>4</v>
      </c>
      <c r="B9" s="2" t="s">
        <v>17</v>
      </c>
      <c r="C9" s="3">
        <v>0.03</v>
      </c>
      <c r="D9" s="3">
        <v>0.04</v>
      </c>
      <c r="E9" s="3">
        <v>5.5E-2</v>
      </c>
      <c r="F9" s="4" t="s">
        <v>17</v>
      </c>
      <c r="G9" s="5">
        <v>0.03</v>
      </c>
      <c r="H9" s="245" t="s">
        <v>18</v>
      </c>
      <c r="I9" s="245"/>
      <c r="M9" s="2">
        <v>4</v>
      </c>
      <c r="N9" s="2" t="s">
        <v>17</v>
      </c>
      <c r="O9" s="3">
        <v>0.03</v>
      </c>
      <c r="P9" s="3">
        <v>0.04</v>
      </c>
      <c r="Q9" s="3">
        <v>5.5E-2</v>
      </c>
      <c r="R9" s="4" t="s">
        <v>17</v>
      </c>
      <c r="S9" s="5">
        <v>0.03</v>
      </c>
      <c r="T9" s="245" t="s">
        <v>18</v>
      </c>
      <c r="U9" s="245"/>
    </row>
    <row r="10" spans="1:21" x14ac:dyDescent="0.25">
      <c r="A10" s="2">
        <v>5</v>
      </c>
      <c r="B10" s="2" t="s">
        <v>19</v>
      </c>
      <c r="C10" s="3">
        <v>6.1600000000000002E-2</v>
      </c>
      <c r="D10" s="3">
        <v>7.3999999999999996E-2</v>
      </c>
      <c r="E10" s="3">
        <v>8.9599999999999999E-2</v>
      </c>
      <c r="F10" s="4" t="s">
        <v>19</v>
      </c>
      <c r="G10" s="5">
        <v>7.3999999999999996E-2</v>
      </c>
      <c r="H10" s="253" t="s">
        <v>20</v>
      </c>
      <c r="I10" s="253"/>
      <c r="M10" s="2">
        <v>5</v>
      </c>
      <c r="N10" s="2" t="s">
        <v>19</v>
      </c>
      <c r="O10" s="3">
        <v>6.1600000000000002E-2</v>
      </c>
      <c r="P10" s="3">
        <v>7.3999999999999996E-2</v>
      </c>
      <c r="Q10" s="3">
        <v>8.9599999999999999E-2</v>
      </c>
      <c r="R10" s="4" t="s">
        <v>19</v>
      </c>
      <c r="S10" s="5">
        <v>7.3999999999999996E-2</v>
      </c>
      <c r="T10" s="253" t="s">
        <v>20</v>
      </c>
      <c r="U10" s="253"/>
    </row>
    <row r="11" spans="1:21" x14ac:dyDescent="0.25">
      <c r="A11" s="2">
        <v>6</v>
      </c>
      <c r="B11" s="2" t="s">
        <v>21</v>
      </c>
      <c r="C11" s="247" t="s">
        <v>22</v>
      </c>
      <c r="D11" s="247"/>
      <c r="E11" s="247"/>
      <c r="F11" s="4" t="s">
        <v>21</v>
      </c>
      <c r="G11" s="5">
        <f>(G12+G13+G14+G15)</f>
        <v>8.6499999999999994E-2</v>
      </c>
      <c r="H11" s="253"/>
      <c r="I11" s="253"/>
      <c r="M11" s="2">
        <v>6</v>
      </c>
      <c r="N11" s="2" t="s">
        <v>21</v>
      </c>
      <c r="O11" s="247" t="s">
        <v>22</v>
      </c>
      <c r="P11" s="247"/>
      <c r="Q11" s="247"/>
      <c r="R11" s="4" t="s">
        <v>21</v>
      </c>
      <c r="S11" s="5">
        <f>(S12+S13+S14+S15)</f>
        <v>0.13150000000000001</v>
      </c>
      <c r="T11" s="253"/>
      <c r="U11" s="253"/>
    </row>
    <row r="12" spans="1:21" x14ac:dyDescent="0.25">
      <c r="A12" s="2" t="s">
        <v>23</v>
      </c>
      <c r="B12" s="2" t="s">
        <v>24</v>
      </c>
      <c r="C12" s="247" t="s">
        <v>22</v>
      </c>
      <c r="D12" s="247"/>
      <c r="E12" s="247"/>
      <c r="F12" s="4" t="s">
        <v>24</v>
      </c>
      <c r="G12" s="5">
        <v>6.4999999999999997E-3</v>
      </c>
      <c r="H12" s="253"/>
      <c r="I12" s="253"/>
      <c r="M12" s="2" t="s">
        <v>23</v>
      </c>
      <c r="N12" s="2" t="s">
        <v>24</v>
      </c>
      <c r="O12" s="247" t="s">
        <v>22</v>
      </c>
      <c r="P12" s="247"/>
      <c r="Q12" s="247"/>
      <c r="R12" s="4" t="s">
        <v>24</v>
      </c>
      <c r="S12" s="5">
        <v>6.4999999999999997E-3</v>
      </c>
      <c r="T12" s="253"/>
      <c r="U12" s="253"/>
    </row>
    <row r="13" spans="1:21" x14ac:dyDescent="0.25">
      <c r="A13" s="2" t="s">
        <v>25</v>
      </c>
      <c r="B13" s="2" t="s">
        <v>26</v>
      </c>
      <c r="C13" s="247" t="s">
        <v>22</v>
      </c>
      <c r="D13" s="247"/>
      <c r="E13" s="247"/>
      <c r="F13" s="4" t="s">
        <v>26</v>
      </c>
      <c r="G13" s="5">
        <v>0.03</v>
      </c>
      <c r="H13" s="253"/>
      <c r="I13" s="253"/>
      <c r="M13" s="2" t="s">
        <v>25</v>
      </c>
      <c r="N13" s="2" t="s">
        <v>26</v>
      </c>
      <c r="O13" s="247" t="s">
        <v>22</v>
      </c>
      <c r="P13" s="247"/>
      <c r="Q13" s="247"/>
      <c r="R13" s="4" t="s">
        <v>26</v>
      </c>
      <c r="S13" s="5">
        <v>0.03</v>
      </c>
      <c r="T13" s="253"/>
      <c r="U13" s="253"/>
    </row>
    <row r="14" spans="1:21" x14ac:dyDescent="0.25">
      <c r="A14" s="2" t="s">
        <v>27</v>
      </c>
      <c r="B14" s="2" t="s">
        <v>28</v>
      </c>
      <c r="C14" s="247" t="s">
        <v>22</v>
      </c>
      <c r="D14" s="247"/>
      <c r="E14" s="247"/>
      <c r="F14" s="4" t="s">
        <v>28</v>
      </c>
      <c r="G14" s="5">
        <v>0.05</v>
      </c>
      <c r="H14" s="248" t="s">
        <v>29</v>
      </c>
      <c r="I14" s="249"/>
      <c r="M14" s="2" t="s">
        <v>27</v>
      </c>
      <c r="N14" s="2" t="s">
        <v>28</v>
      </c>
      <c r="O14" s="247" t="s">
        <v>22</v>
      </c>
      <c r="P14" s="247"/>
      <c r="Q14" s="247"/>
      <c r="R14" s="4" t="s">
        <v>28</v>
      </c>
      <c r="S14" s="5">
        <v>0.05</v>
      </c>
      <c r="T14" s="248" t="s">
        <v>29</v>
      </c>
      <c r="U14" s="249"/>
    </row>
    <row r="15" spans="1:21" x14ac:dyDescent="0.25">
      <c r="A15" s="2" t="s">
        <v>30</v>
      </c>
      <c r="B15" s="2" t="s">
        <v>31</v>
      </c>
      <c r="C15" s="252">
        <v>0</v>
      </c>
      <c r="D15" s="252"/>
      <c r="E15" s="252"/>
      <c r="F15" s="4" t="s">
        <v>31</v>
      </c>
      <c r="G15" s="5">
        <v>0</v>
      </c>
      <c r="H15" s="250"/>
      <c r="I15" s="251"/>
      <c r="M15" s="2" t="s">
        <v>30</v>
      </c>
      <c r="N15" s="2" t="s">
        <v>31</v>
      </c>
      <c r="O15" s="252">
        <v>0</v>
      </c>
      <c r="P15" s="252"/>
      <c r="Q15" s="252"/>
      <c r="R15" s="4" t="s">
        <v>31</v>
      </c>
      <c r="S15" s="5">
        <v>4.4999999999999998E-2</v>
      </c>
      <c r="T15" s="250"/>
      <c r="U15" s="251"/>
    </row>
    <row r="16" spans="1:21" x14ac:dyDescent="0.25">
      <c r="A16" s="246" t="s">
        <v>32</v>
      </c>
      <c r="B16" s="246"/>
      <c r="C16" s="246"/>
      <c r="D16" s="246"/>
      <c r="E16" s="246"/>
      <c r="F16" s="246"/>
      <c r="G16" s="246"/>
      <c r="H16" s="246"/>
      <c r="I16" s="246"/>
    </row>
  </sheetData>
  <mergeCells count="41">
    <mergeCell ref="A1:I1"/>
    <mergeCell ref="M1:U1"/>
    <mergeCell ref="A2:G2"/>
    <mergeCell ref="H2:I2"/>
    <mergeCell ref="M2:S2"/>
    <mergeCell ref="T2:U2"/>
    <mergeCell ref="A3:G3"/>
    <mergeCell ref="H3:I3"/>
    <mergeCell ref="M3:S3"/>
    <mergeCell ref="T3:U3"/>
    <mergeCell ref="A4:B5"/>
    <mergeCell ref="C4:E4"/>
    <mergeCell ref="F4:G5"/>
    <mergeCell ref="H4:H5"/>
    <mergeCell ref="I4:I5"/>
    <mergeCell ref="M4:N5"/>
    <mergeCell ref="O4:Q4"/>
    <mergeCell ref="R4:S5"/>
    <mergeCell ref="T4:T5"/>
    <mergeCell ref="U4:U5"/>
    <mergeCell ref="H6:I7"/>
    <mergeCell ref="T6:U7"/>
    <mergeCell ref="H8:I8"/>
    <mergeCell ref="T8:U8"/>
    <mergeCell ref="H9:I9"/>
    <mergeCell ref="T9:U9"/>
    <mergeCell ref="H10:I13"/>
    <mergeCell ref="T10:U13"/>
    <mergeCell ref="C11:E11"/>
    <mergeCell ref="O11:Q11"/>
    <mergeCell ref="C12:E12"/>
    <mergeCell ref="O12:Q12"/>
    <mergeCell ref="C13:E13"/>
    <mergeCell ref="O13:Q13"/>
    <mergeCell ref="A16:I16"/>
    <mergeCell ref="C14:E14"/>
    <mergeCell ref="H14:I15"/>
    <mergeCell ref="O14:Q14"/>
    <mergeCell ref="T14:U15"/>
    <mergeCell ref="C15:E15"/>
    <mergeCell ref="O15:Q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22</vt:i4>
      </vt:variant>
    </vt:vector>
  </HeadingPairs>
  <TitlesOfParts>
    <vt:vector size="22" baseType="lpstr">
      <vt:lpstr>Horas Extras</vt:lpstr>
      <vt:lpstr>OFICIAL - ROO</vt:lpstr>
      <vt:lpstr>OFICIAL - CAE</vt:lpstr>
      <vt:lpstr>OFICIAL - SIC</vt:lpstr>
      <vt:lpstr>OFICIAL - BRG</vt:lpstr>
      <vt:lpstr>OFICIAL - CBA</vt:lpstr>
      <vt:lpstr>RESUMO</vt:lpstr>
      <vt:lpstr>Resumo - Mão de Obra</vt:lpstr>
      <vt:lpstr>BDI</vt:lpstr>
      <vt:lpstr>BDI SINOP</vt:lpstr>
      <vt:lpstr>BDI - MERO FORNECIMENTO</vt:lpstr>
      <vt:lpstr>UNIFORMES</vt:lpstr>
      <vt:lpstr>Ferramentas de Uso Geral</vt:lpstr>
      <vt:lpstr>Ferramentas ELE-TEC-MEC</vt:lpstr>
      <vt:lpstr>ENGENHEIROS</vt:lpstr>
      <vt:lpstr>TÉCNICO EM EDIFICAÇÕES</vt:lpstr>
      <vt:lpstr>ELETRICISTA</vt:lpstr>
      <vt:lpstr>Auxiliar de Manutenção</vt:lpstr>
      <vt:lpstr>MECÂNICO DE REFRIGERAÇÃO</vt:lpstr>
      <vt:lpstr>MATERIAIS E PEÇAS</vt:lpstr>
      <vt:lpstr>SERVIÇOS EVENTUAIS</vt:lpstr>
      <vt:lpstr>Serviços Especializados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Siqueira Telles de Souza Campos</dc:creator>
  <cp:lastModifiedBy>Eliezer Gentil de Souza</cp:lastModifiedBy>
  <dcterms:created xsi:type="dcterms:W3CDTF">2024-10-16T11:53:52Z</dcterms:created>
  <dcterms:modified xsi:type="dcterms:W3CDTF">2025-05-05T11:45:29Z</dcterms:modified>
</cp:coreProperties>
</file>